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ЭтаКнига" defaultThemeVersion="124226"/>
  <bookViews>
    <workbookView xWindow="9516" yWindow="-60" windowWidth="11280" windowHeight="8448" tabRatio="863"/>
  </bookViews>
  <sheets>
    <sheet name="Мікрокредит для ФОП" sheetId="164" r:id="rId1"/>
    <sheet name="Лист2" sheetId="165" state="hidden" r:id="rId2"/>
    <sheet name="Назви" sheetId="161" state="hidden" r:id="rId3"/>
    <sheet name="Лист1" sheetId="166" state="hidden" r:id="rId4"/>
  </sheets>
  <externalReferences>
    <externalReference r:id="rId5"/>
  </externalReferences>
  <definedNames>
    <definedName name="_xlnm.Print_Area" localSheetId="0">'Мікрокредит для ФОП'!$A$1:$I$100</definedName>
  </definedNames>
  <calcPr calcId="145621"/>
</workbook>
</file>

<file path=xl/calcChain.xml><?xml version="1.0" encoding="utf-8"?>
<calcChain xmlns="http://schemas.openxmlformats.org/spreadsheetml/2006/main">
  <c r="H3" i="164" l="1"/>
  <c r="L19" i="165"/>
  <c r="H19" i="165"/>
  <c r="K19" i="165" s="1"/>
  <c r="L18" i="165"/>
  <c r="H18" i="165"/>
  <c r="K18" i="165" s="1"/>
  <c r="L17" i="165"/>
  <c r="H17" i="165"/>
  <c r="K17" i="165" s="1"/>
  <c r="L16" i="165"/>
  <c r="H16" i="165"/>
  <c r="K16" i="165" s="1"/>
  <c r="L15" i="165"/>
  <c r="H15" i="165"/>
  <c r="K15" i="165" s="1"/>
  <c r="L14" i="165"/>
  <c r="H14" i="165"/>
  <c r="K14" i="165" s="1"/>
  <c r="L13" i="165"/>
  <c r="H13" i="165"/>
  <c r="K13" i="165" s="1"/>
  <c r="L12" i="165"/>
  <c r="H12" i="165"/>
  <c r="K12" i="165" s="1"/>
  <c r="L11" i="165"/>
  <c r="H11" i="165"/>
  <c r="K11" i="165" s="1"/>
  <c r="L10" i="165"/>
  <c r="H10" i="165"/>
  <c r="K10" i="165" s="1"/>
  <c r="L9" i="165"/>
  <c r="H9" i="165"/>
  <c r="K9" i="165" s="1"/>
  <c r="L8" i="165"/>
  <c r="H8" i="165"/>
  <c r="K8" i="165" s="1"/>
  <c r="F2" i="164" l="1"/>
  <c r="E8" i="164" l="1"/>
  <c r="D8" i="164"/>
  <c r="C8" i="164"/>
  <c r="H7" i="165"/>
  <c r="H6" i="165"/>
  <c r="H5" i="165"/>
  <c r="H4" i="165"/>
  <c r="E25" i="164" l="1"/>
  <c r="D25" i="164"/>
  <c r="C25" i="164"/>
  <c r="E23" i="164"/>
  <c r="D23" i="164"/>
  <c r="C23" i="164"/>
  <c r="E21" i="164"/>
  <c r="D21" i="164"/>
  <c r="C21" i="164"/>
  <c r="E19" i="164"/>
  <c r="D19" i="164"/>
  <c r="C19" i="164"/>
  <c r="E16" i="164"/>
  <c r="D16" i="164"/>
  <c r="C16" i="164"/>
  <c r="B16" i="164"/>
  <c r="E14" i="164"/>
  <c r="D14" i="164"/>
  <c r="C14" i="164"/>
  <c r="E12" i="164"/>
  <c r="D12" i="164"/>
  <c r="C12" i="164"/>
  <c r="E10" i="164"/>
  <c r="D10" i="164"/>
  <c r="C10" i="164"/>
  <c r="F25" i="164" l="1"/>
  <c r="F10" i="164"/>
  <c r="L6" i="165" l="1"/>
  <c r="G5" i="164" l="1"/>
  <c r="G4" i="164" l="1"/>
  <c r="AA32" i="164"/>
  <c r="AA33" i="164"/>
  <c r="AA14" i="164"/>
  <c r="AA15" i="164"/>
  <c r="AA16" i="164"/>
  <c r="AA17" i="164"/>
  <c r="AA18" i="164"/>
  <c r="AA19" i="164"/>
  <c r="AA20" i="164"/>
  <c r="AA21" i="164"/>
  <c r="AA24" i="164"/>
  <c r="AA25" i="164"/>
  <c r="AA26" i="164"/>
  <c r="AA27" i="164"/>
  <c r="AA28" i="164"/>
  <c r="AA29" i="164"/>
  <c r="AA30" i="164"/>
  <c r="AA31" i="164"/>
  <c r="AA13" i="164"/>
  <c r="K4" i="165" l="1"/>
  <c r="L4" i="165"/>
  <c r="K5" i="165"/>
  <c r="L5" i="165"/>
  <c r="K6" i="165"/>
  <c r="K7" i="165"/>
  <c r="L7" i="165"/>
  <c r="AA35" i="164" l="1"/>
  <c r="AA36" i="164"/>
  <c r="AA37" i="164"/>
  <c r="AA38" i="164"/>
  <c r="AA39" i="164"/>
  <c r="AA40" i="164"/>
  <c r="AA41" i="164"/>
  <c r="AA42" i="164"/>
  <c r="AA43" i="164"/>
  <c r="AA44" i="164"/>
  <c r="C36" i="164" l="1"/>
  <c r="C37" i="164" s="1"/>
  <c r="C38" i="164" s="1"/>
  <c r="C39" i="164" s="1"/>
  <c r="C40" i="164" s="1"/>
  <c r="C41" i="164" s="1"/>
  <c r="C42" i="164" s="1"/>
  <c r="C43" i="164" s="1"/>
  <c r="C44" i="164" s="1"/>
  <c r="C45" i="164" s="1"/>
  <c r="C46" i="164" s="1"/>
  <c r="C47" i="164" s="1"/>
  <c r="C48" i="164" s="1"/>
  <c r="C49" i="164" l="1"/>
  <c r="C50" i="164" s="1"/>
  <c r="C51" i="164" s="1"/>
  <c r="C52" i="164" s="1"/>
  <c r="C53" i="164" s="1"/>
  <c r="C54" i="164" s="1"/>
  <c r="C55" i="164" s="1"/>
  <c r="C56" i="164" s="1"/>
  <c r="C57" i="164" s="1"/>
  <c r="C58" i="164" s="1"/>
  <c r="C59" i="164" s="1"/>
  <c r="C60" i="164" s="1"/>
  <c r="C61" i="164" s="1"/>
  <c r="C62" i="164" s="1"/>
  <c r="C63" i="164" s="1"/>
  <c r="C64" i="164" s="1"/>
  <c r="C65" i="164" s="1"/>
  <c r="C66" i="164" s="1"/>
  <c r="C67" i="164" s="1"/>
  <c r="C68" i="164" s="1"/>
  <c r="C69" i="164" s="1"/>
  <c r="C70" i="164" s="1"/>
  <c r="C71" i="164" s="1"/>
  <c r="C72" i="164" s="1"/>
  <c r="C73" i="164" s="1"/>
  <c r="C74" i="164" s="1"/>
  <c r="C75" i="164" s="1"/>
  <c r="C76" i="164" s="1"/>
  <c r="C77" i="164" s="1"/>
  <c r="C78" i="164" s="1"/>
  <c r="C79" i="164" s="1"/>
  <c r="C80" i="164" s="1"/>
  <c r="C81" i="164" s="1"/>
  <c r="C82" i="164" s="1"/>
  <c r="C83" i="164" s="1"/>
  <c r="C84" i="164" s="1"/>
  <c r="C85" i="164" s="1"/>
  <c r="C86" i="164" s="1"/>
  <c r="C87" i="164" s="1"/>
  <c r="C88" i="164" s="1"/>
  <c r="C89" i="164" s="1"/>
  <c r="C90" i="164" s="1"/>
  <c r="C91" i="164" s="1"/>
  <c r="C92" i="164" s="1"/>
  <c r="C93" i="164" s="1"/>
  <c r="C94" i="164" s="1"/>
  <c r="C95" i="164" s="1"/>
  <c r="C96" i="164" s="1"/>
  <c r="E2" i="164"/>
  <c r="E3" i="164" s="1"/>
  <c r="F3" i="164" s="1"/>
  <c r="C19" i="161"/>
  <c r="H19" i="161" s="1"/>
  <c r="D19" i="161"/>
  <c r="G19" i="161" s="1"/>
  <c r="E19" i="161"/>
  <c r="C20" i="161"/>
  <c r="H20" i="161" s="1"/>
  <c r="D20" i="161"/>
  <c r="G20" i="161" s="1"/>
  <c r="E20" i="161"/>
  <c r="F20" i="161"/>
  <c r="C21" i="161"/>
  <c r="H21" i="161" s="1"/>
  <c r="D21" i="161"/>
  <c r="E21" i="161"/>
  <c r="F21" i="161"/>
  <c r="G21" i="161"/>
  <c r="C22" i="161"/>
  <c r="H22" i="161" s="1"/>
  <c r="D22" i="161"/>
  <c r="G22" i="161" s="1"/>
  <c r="E22" i="161"/>
  <c r="F22" i="161"/>
  <c r="G3" i="164"/>
  <c r="K3" i="164"/>
  <c r="M3" i="164" s="1" a="1"/>
  <c r="N3" i="164" s="1"/>
  <c r="H5" i="164"/>
  <c r="G10" i="164"/>
  <c r="M10" i="164"/>
  <c r="F12" i="164"/>
  <c r="M12" i="164"/>
  <c r="F14" i="164"/>
  <c r="M14" i="164"/>
  <c r="F16" i="164"/>
  <c r="B27" i="164"/>
  <c r="C27" i="164"/>
  <c r="D27" i="164"/>
  <c r="E27" i="164"/>
  <c r="F27" i="164"/>
  <c r="G27" i="164"/>
  <c r="H27" i="164"/>
  <c r="I27" i="164"/>
  <c r="A28" i="164"/>
  <c r="A29" i="164"/>
  <c r="A30" i="164"/>
  <c r="A31" i="164"/>
  <c r="B34" i="164"/>
  <c r="B35" i="164"/>
  <c r="D35" i="164"/>
  <c r="E35" i="164"/>
  <c r="F35" i="164"/>
  <c r="G35" i="164"/>
  <c r="E17" i="164" l="1"/>
  <c r="F8" i="164"/>
  <c r="F19" i="161"/>
  <c r="N14" i="164"/>
  <c r="N12" i="164"/>
  <c r="T3" i="164"/>
  <c r="N16" i="164"/>
  <c r="N5" i="164"/>
  <c r="Q3" i="164"/>
  <c r="S3" i="164"/>
  <c r="P3" i="164"/>
  <c r="U3" i="164"/>
  <c r="O3" i="164"/>
  <c r="N10" i="164"/>
  <c r="M3" i="164"/>
  <c r="R3" i="164"/>
  <c r="V3" i="164"/>
  <c r="E18" i="164" l="1"/>
  <c r="G19" i="164" s="1"/>
  <c r="F19" i="164" s="1"/>
  <c r="T12" i="164"/>
  <c r="E93" i="164"/>
  <c r="E89" i="164"/>
  <c r="E85" i="164"/>
  <c r="E81" i="164"/>
  <c r="E77" i="164"/>
  <c r="E73" i="164"/>
  <c r="E94" i="164"/>
  <c r="E90" i="164"/>
  <c r="E86" i="164"/>
  <c r="E82" i="164"/>
  <c r="E78" i="164"/>
  <c r="E74" i="164"/>
  <c r="E95" i="164"/>
  <c r="E91" i="164"/>
  <c r="E87" i="164"/>
  <c r="E83" i="164"/>
  <c r="E79" i="164"/>
  <c r="E75" i="164"/>
  <c r="E96" i="164"/>
  <c r="E92" i="164"/>
  <c r="E88" i="164"/>
  <c r="E84" i="164"/>
  <c r="E80" i="164"/>
  <c r="E76" i="164"/>
  <c r="T10" i="164"/>
  <c r="G36" i="164"/>
  <c r="N18" i="164"/>
  <c r="N25" i="164" s="1"/>
  <c r="T16" i="164"/>
  <c r="T5" i="164"/>
  <c r="T14" i="164"/>
  <c r="R10" i="164"/>
  <c r="R12" i="164"/>
  <c r="R14" i="164"/>
  <c r="R16" i="164"/>
  <c r="R5" i="164"/>
  <c r="O12" i="164"/>
  <c r="O10" i="164"/>
  <c r="O16" i="164"/>
  <c r="O14" i="164"/>
  <c r="O5" i="164"/>
  <c r="P10" i="164"/>
  <c r="P14" i="164"/>
  <c r="P12" i="164"/>
  <c r="P5" i="164"/>
  <c r="P16" i="164"/>
  <c r="Q5" i="164"/>
  <c r="Q16" i="164"/>
  <c r="Q10" i="164"/>
  <c r="Q14" i="164"/>
  <c r="Q12" i="164"/>
  <c r="V12" i="164"/>
  <c r="V16" i="164"/>
  <c r="V14" i="164"/>
  <c r="V10" i="164"/>
  <c r="V5" i="164"/>
  <c r="M5" i="164"/>
  <c r="M18" i="164" s="1"/>
  <c r="M16" i="164"/>
  <c r="U16" i="164"/>
  <c r="U14" i="164"/>
  <c r="U12" i="164"/>
  <c r="U10" i="164"/>
  <c r="U5" i="164"/>
  <c r="S14" i="164"/>
  <c r="S12" i="164"/>
  <c r="S5" i="164"/>
  <c r="S16" i="164"/>
  <c r="S10" i="164"/>
  <c r="E69" i="164" l="1"/>
  <c r="E54" i="164"/>
  <c r="E56" i="164"/>
  <c r="E63" i="164"/>
  <c r="E70" i="164"/>
  <c r="E72" i="164"/>
  <c r="E64" i="164"/>
  <c r="E55" i="164"/>
  <c r="E71" i="164"/>
  <c r="E62" i="164"/>
  <c r="E61" i="164"/>
  <c r="E53" i="164"/>
  <c r="E60" i="164"/>
  <c r="E59" i="164"/>
  <c r="E58" i="164"/>
  <c r="E57" i="164"/>
  <c r="E52" i="164"/>
  <c r="E68" i="164"/>
  <c r="E51" i="164"/>
  <c r="E67" i="164"/>
  <c r="E50" i="164"/>
  <c r="E66" i="164"/>
  <c r="E49" i="164"/>
  <c r="E65" i="164"/>
  <c r="E48" i="164"/>
  <c r="E40" i="164"/>
  <c r="E43" i="164"/>
  <c r="E41" i="164"/>
  <c r="E37" i="164"/>
  <c r="E44" i="164"/>
  <c r="E47" i="164"/>
  <c r="E45" i="164"/>
  <c r="E42" i="164"/>
  <c r="F37" i="164"/>
  <c r="E39" i="164"/>
  <c r="E46" i="164"/>
  <c r="E38" i="164"/>
  <c r="T18" i="164"/>
  <c r="T25" i="164" s="1"/>
  <c r="T19" i="164" s="1"/>
  <c r="T21" i="164" s="1"/>
  <c r="V18" i="164"/>
  <c r="V25" i="164" s="1"/>
  <c r="V19" i="164" s="1"/>
  <c r="V21" i="164" s="1"/>
  <c r="U18" i="164"/>
  <c r="U25" i="164" s="1"/>
  <c r="U19" i="164" s="1"/>
  <c r="U21" i="164" s="1"/>
  <c r="O18" i="164"/>
  <c r="O25" i="164" s="1"/>
  <c r="S18" i="164"/>
  <c r="S25" i="164" s="1"/>
  <c r="S19" i="164" s="1"/>
  <c r="S21" i="164" s="1"/>
  <c r="M25" i="164"/>
  <c r="D28" i="164" s="1"/>
  <c r="I28" i="164" s="1"/>
  <c r="R18" i="164"/>
  <c r="R25" i="164" s="1"/>
  <c r="R19" i="164" s="1"/>
  <c r="R21" i="164" s="1"/>
  <c r="D29" i="164"/>
  <c r="I29" i="164" s="1"/>
  <c r="N19" i="164"/>
  <c r="Q18" i="164"/>
  <c r="Q25" i="164" s="1"/>
  <c r="Q19" i="164" s="1"/>
  <c r="Q21" i="164" s="1"/>
  <c r="P18" i="164"/>
  <c r="P25" i="164" s="1"/>
  <c r="D37" i="164" l="1"/>
  <c r="F38" i="164" s="1"/>
  <c r="D38" i="164" s="1"/>
  <c r="G38" i="164" s="1"/>
  <c r="E97" i="164"/>
  <c r="M19" i="164"/>
  <c r="E28" i="164" s="1"/>
  <c r="H19" i="164"/>
  <c r="D31" i="164"/>
  <c r="I31" i="164" s="1"/>
  <c r="P19" i="164"/>
  <c r="N21" i="164"/>
  <c r="F29" i="164" s="1"/>
  <c r="E29" i="164"/>
  <c r="D30" i="164"/>
  <c r="I30" i="164" s="1"/>
  <c r="O19" i="164"/>
  <c r="G37" i="164" l="1"/>
  <c r="M21" i="164"/>
  <c r="F28" i="164" s="1"/>
  <c r="F39" i="164"/>
  <c r="D39" i="164" s="1"/>
  <c r="G28" i="164"/>
  <c r="H28" i="164"/>
  <c r="O21" i="164"/>
  <c r="F30" i="164" s="1"/>
  <c r="E30" i="164"/>
  <c r="H29" i="164"/>
  <c r="G29" i="164"/>
  <c r="P21" i="164"/>
  <c r="F31" i="164" s="1"/>
  <c r="E31" i="164"/>
  <c r="F40" i="164" l="1"/>
  <c r="D40" i="164" s="1"/>
  <c r="G39" i="164"/>
  <c r="G31" i="164"/>
  <c r="H31" i="164"/>
  <c r="H30" i="164"/>
  <c r="G30" i="164"/>
  <c r="G40" i="164" l="1"/>
  <c r="F41" i="164"/>
  <c r="D41" i="164" s="1"/>
  <c r="F42" i="164" s="1"/>
  <c r="G41" i="164" l="1"/>
  <c r="D42" i="164"/>
  <c r="F43" i="164" l="1"/>
  <c r="G42" i="164"/>
  <c r="D43" i="164" l="1"/>
  <c r="F44" i="164" l="1"/>
  <c r="G43" i="164"/>
  <c r="D44" i="164" l="1"/>
  <c r="F45" i="164" s="1"/>
  <c r="G44" i="164" l="1"/>
  <c r="D45" i="164"/>
  <c r="F46" i="164" s="1"/>
  <c r="G45" i="164" l="1"/>
  <c r="D46" i="164"/>
  <c r="F47" i="164" s="1"/>
  <c r="D47" i="164" l="1"/>
  <c r="F48" i="164" s="1"/>
  <c r="G46" i="164"/>
  <c r="D48" i="164" l="1"/>
  <c r="F49" i="164" s="1"/>
  <c r="G47" i="164"/>
  <c r="G48" i="164" l="1"/>
  <c r="D49" i="164"/>
  <c r="F50" i="164" s="1"/>
  <c r="G49" i="164" l="1"/>
  <c r="D50" i="164"/>
  <c r="F51" i="164" s="1"/>
  <c r="D51" i="164" l="1"/>
  <c r="F52" i="164" s="1"/>
  <c r="G50" i="164"/>
  <c r="D52" i="164" l="1"/>
  <c r="F53" i="164" s="1"/>
  <c r="G51" i="164"/>
  <c r="D53" i="164" l="1"/>
  <c r="F54" i="164" s="1"/>
  <c r="G52" i="164"/>
  <c r="D54" i="164" l="1"/>
  <c r="F55" i="164" s="1"/>
  <c r="G53" i="164"/>
  <c r="D55" i="164" l="1"/>
  <c r="F56" i="164" s="1"/>
  <c r="G54" i="164"/>
  <c r="D56" i="164" l="1"/>
  <c r="F57" i="164" s="1"/>
  <c r="G55" i="164"/>
  <c r="D57" i="164" l="1"/>
  <c r="F58" i="164" s="1"/>
  <c r="G56" i="164"/>
  <c r="D58" i="164" l="1"/>
  <c r="F59" i="164" s="1"/>
  <c r="G57" i="164"/>
  <c r="D59" i="164" l="1"/>
  <c r="F60" i="164" s="1"/>
  <c r="G58" i="164"/>
  <c r="D60" i="164" l="1"/>
  <c r="F61" i="164" s="1"/>
  <c r="G59" i="164"/>
  <c r="D61" i="164" l="1"/>
  <c r="F62" i="164" s="1"/>
  <c r="G60" i="164"/>
  <c r="D62" i="164" l="1"/>
  <c r="F63" i="164" s="1"/>
  <c r="G61" i="164"/>
  <c r="D63" i="164" l="1"/>
  <c r="F64" i="164" s="1"/>
  <c r="G62" i="164"/>
  <c r="D64" i="164" l="1"/>
  <c r="F65" i="164" s="1"/>
  <c r="G63" i="164"/>
  <c r="D65" i="164" l="1"/>
  <c r="F66" i="164" s="1"/>
  <c r="G64" i="164"/>
  <c r="D66" i="164" l="1"/>
  <c r="F67" i="164" s="1"/>
  <c r="G65" i="164"/>
  <c r="D67" i="164" l="1"/>
  <c r="F68" i="164" s="1"/>
  <c r="G66" i="164"/>
  <c r="D68" i="164" l="1"/>
  <c r="F69" i="164" s="1"/>
  <c r="G67" i="164"/>
  <c r="D69" i="164" l="1"/>
  <c r="F70" i="164" s="1"/>
  <c r="G68" i="164"/>
  <c r="D70" i="164" l="1"/>
  <c r="F71" i="164" s="1"/>
  <c r="G69" i="164"/>
  <c r="D71" i="164" l="1"/>
  <c r="F72" i="164" s="1"/>
  <c r="G70" i="164"/>
  <c r="D72" i="164" l="1"/>
  <c r="F73" i="164" s="1"/>
  <c r="G71" i="164"/>
  <c r="D73" i="164" l="1"/>
  <c r="F74" i="164" s="1"/>
  <c r="G72" i="164"/>
  <c r="D74" i="164" l="1"/>
  <c r="F75" i="164" s="1"/>
  <c r="G73" i="164"/>
  <c r="D75" i="164" l="1"/>
  <c r="F76" i="164" s="1"/>
  <c r="G74" i="164"/>
  <c r="D76" i="164" l="1"/>
  <c r="F77" i="164" s="1"/>
  <c r="G75" i="164"/>
  <c r="D77" i="164" l="1"/>
  <c r="F78" i="164" s="1"/>
  <c r="G76" i="164"/>
  <c r="D78" i="164" l="1"/>
  <c r="F79" i="164" s="1"/>
  <c r="G77" i="164"/>
  <c r="D79" i="164" l="1"/>
  <c r="F80" i="164" s="1"/>
  <c r="G78" i="164"/>
  <c r="D80" i="164" l="1"/>
  <c r="F81" i="164" s="1"/>
  <c r="G79" i="164"/>
  <c r="D81" i="164" l="1"/>
  <c r="F82" i="164" s="1"/>
  <c r="G80" i="164"/>
  <c r="D82" i="164" l="1"/>
  <c r="F83" i="164" s="1"/>
  <c r="G81" i="164"/>
  <c r="D83" i="164" l="1"/>
  <c r="F84" i="164" s="1"/>
  <c r="G82" i="164"/>
  <c r="D84" i="164" l="1"/>
  <c r="F85" i="164" s="1"/>
  <c r="G83" i="164"/>
  <c r="D85" i="164" l="1"/>
  <c r="F86" i="164" s="1"/>
  <c r="G84" i="164"/>
  <c r="D86" i="164" l="1"/>
  <c r="F87" i="164" s="1"/>
  <c r="G85" i="164"/>
  <c r="D87" i="164" l="1"/>
  <c r="F88" i="164" s="1"/>
  <c r="G86" i="164"/>
  <c r="D88" i="164" l="1"/>
  <c r="F89" i="164" s="1"/>
  <c r="G87" i="164"/>
  <c r="D89" i="164" l="1"/>
  <c r="F90" i="164" s="1"/>
  <c r="G88" i="164"/>
  <c r="D90" i="164" l="1"/>
  <c r="F91" i="164" s="1"/>
  <c r="G89" i="164"/>
  <c r="D91" i="164" l="1"/>
  <c r="F92" i="164" s="1"/>
  <c r="G90" i="164"/>
  <c r="D92" i="164" l="1"/>
  <c r="F93" i="164" s="1"/>
  <c r="G91" i="164"/>
  <c r="D93" i="164" l="1"/>
  <c r="F94" i="164" s="1"/>
  <c r="G92" i="164"/>
  <c r="D94" i="164" l="1"/>
  <c r="F95" i="164" s="1"/>
  <c r="G93" i="164"/>
  <c r="D95" i="164" l="1"/>
  <c r="F96" i="164" s="1"/>
  <c r="G94" i="164"/>
  <c r="F97" i="164" l="1"/>
  <c r="F21" i="164" s="1"/>
  <c r="G95" i="164"/>
  <c r="D96" i="164"/>
  <c r="G96" i="164" l="1"/>
  <c r="G97" i="164" s="1"/>
  <c r="F23" i="164" s="1"/>
  <c r="D97" i="164"/>
  <c r="H21" i="164" l="1"/>
  <c r="G21" i="164"/>
  <c r="G25" i="164"/>
</calcChain>
</file>

<file path=xl/sharedStrings.xml><?xml version="1.0" encoding="utf-8"?>
<sst xmlns="http://schemas.openxmlformats.org/spreadsheetml/2006/main" count="100" uniqueCount="79">
  <si>
    <t>Щомісячний платіж</t>
  </si>
  <si>
    <t>Всього</t>
  </si>
  <si>
    <t>Місяць</t>
  </si>
  <si>
    <t>Термін кредитування (міс)</t>
  </si>
  <si>
    <t>Відсоткова ставка річна (%)</t>
  </si>
  <si>
    <t>Загальна сума внесків до повернення в місяць, грн.</t>
  </si>
  <si>
    <t>Розмір щомісячних внесків з повернення кредиту, грн.</t>
  </si>
  <si>
    <t>Розмір щомісячних процентних внесків, грн.</t>
  </si>
  <si>
    <t>Безкоштовна гаряча телефонна лінія:</t>
  </si>
  <si>
    <t xml:space="preserve">                   8-800-505-20-30</t>
  </si>
  <si>
    <t>Інший термін</t>
  </si>
  <si>
    <t>12 місяців</t>
  </si>
  <si>
    <t>щом. пл.</t>
  </si>
  <si>
    <t>річна</t>
  </si>
  <si>
    <t>щом. Ком.</t>
  </si>
  <si>
    <t>РКО</t>
  </si>
  <si>
    <t>перепл</t>
  </si>
  <si>
    <t>%</t>
  </si>
  <si>
    <t>В день</t>
  </si>
  <si>
    <t>В місяць</t>
  </si>
  <si>
    <t>Переплата в місяць</t>
  </si>
  <si>
    <t>Переплата у відсотках за весь період</t>
  </si>
  <si>
    <t>Переплата в день</t>
  </si>
  <si>
    <t>Код</t>
  </si>
  <si>
    <t>Cash out, грн.</t>
  </si>
  <si>
    <t>Щомісячна плата за обслуговування кредиту (%)</t>
  </si>
  <si>
    <t>Розмір щомісячної плати за обслуговування кредиту, грн.</t>
  </si>
  <si>
    <t>9 місяців</t>
  </si>
  <si>
    <t>6 місяців</t>
  </si>
  <si>
    <t>14 місяців</t>
  </si>
  <si>
    <t>Макс. сума</t>
  </si>
  <si>
    <t>термін</t>
  </si>
  <si>
    <t>% ставка</t>
  </si>
  <si>
    <t>РКО+Страхування</t>
  </si>
  <si>
    <t>max.</t>
  </si>
  <si>
    <t>грн.</t>
  </si>
  <si>
    <t>сума кредиту</t>
  </si>
  <si>
    <t>Щодененний платіж</t>
  </si>
  <si>
    <t>Переплата у грн.               за весь період</t>
  </si>
  <si>
    <t>к-ть днів у місяці</t>
  </si>
  <si>
    <t>24 місяців</t>
  </si>
  <si>
    <t>18 місяців</t>
  </si>
  <si>
    <t>Початкова комісія</t>
  </si>
  <si>
    <t>Крок</t>
  </si>
  <si>
    <t>Орієнтовна переплата за весь період у грн.</t>
  </si>
  <si>
    <t>Орієнтовна переплата за весь період у відсотках</t>
  </si>
  <si>
    <t xml:space="preserve">ОРІЄНТОВНИЙ ГРАФІК СПЛАТИ КРЕДИТУ </t>
  </si>
  <si>
    <t>Одноразова комісія РКО+Cтрахування (%)</t>
  </si>
  <si>
    <t>Орієнтовний платіж грн</t>
  </si>
  <si>
    <t>щомісячна комісія</t>
  </si>
  <si>
    <t>Орієнтовна реальна річна процентна ставка,%</t>
  </si>
  <si>
    <t>Процентна ставка, % річних</t>
  </si>
  <si>
    <t>Разовий страховий тариф, %</t>
  </si>
  <si>
    <t>Щомісячна плата за обслуговування кредиту, %</t>
  </si>
  <si>
    <t>Сума платежу, грн</t>
  </si>
  <si>
    <t>Загальні витрати за кредитом, грн</t>
  </si>
  <si>
    <t>Загальна вартість кредиту, грн</t>
  </si>
  <si>
    <t>Реальна річна процентна ставка, % річних</t>
  </si>
  <si>
    <t>Оберіть термін кредиту</t>
  </si>
  <si>
    <t xml:space="preserve">кредиту </t>
  </si>
  <si>
    <t>Введіть бажану суму кредиту (без врахування страхівки)</t>
  </si>
  <si>
    <t>Мікрокредит_з СК_36 місяців</t>
  </si>
  <si>
    <t>Мікрокредит_з СК_ 24 місяці</t>
  </si>
  <si>
    <t>Мікрокредит_з СК_18 місяців</t>
  </si>
  <si>
    <t>Мікрокредит_з СК_12 місяців</t>
  </si>
  <si>
    <t>Мікрокредит_без СК_24 місяці</t>
  </si>
  <si>
    <t>Мікрокредит_без СК_18 місяців</t>
  </si>
  <si>
    <t>Мікрокредит_без СК_12 місяців</t>
  </si>
  <si>
    <t>Мікрокредит_без СК_36 місяців</t>
  </si>
  <si>
    <t>Мікрокредит_online_з СК_36 місяців</t>
  </si>
  <si>
    <t>Мікрокредит_online_з СК_24 місяці</t>
  </si>
  <si>
    <t>Мікрокредит_online_з СК_18 місяців</t>
  </si>
  <si>
    <t>Мікрокредит_online_без СК_12 місяців</t>
  </si>
  <si>
    <t>Мікрокредит_online_без СК_36 місяців</t>
  </si>
  <si>
    <t>Мікрокредит_online_без СК_ 24 місяці</t>
  </si>
  <si>
    <t>Мікрокредит_online_з СК_12 місяців</t>
  </si>
  <si>
    <t>Мікрокредит_online_без СК_18 місяців</t>
  </si>
  <si>
    <t>Сума кредиту із врахуванням страхівки (з СК)</t>
  </si>
  <si>
    <t>max. 500000 грн.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</si>
</sst>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164" formatCode="_-* #,##0.00\ _ _-;\-* #,##0.00\ _ _-;_-* &quot;-&quot;??\ _ _-;_-@_-"/>
    <numFmt numFmtId="165" formatCode="#&quot; &quot;##0"/>
    <numFmt numFmtId="166" formatCode="0.0%"/>
    <numFmt numFmtId="167" formatCode="#&quot; &quot;##0.0"/>
    <numFmt numFmtId="168" formatCode="#&quot; &quot;##0.00"/>
    <numFmt numFmtId="169" formatCode="#&quot; &quot;##0.00\ [$грн.-422]"/>
    <numFmt numFmtId="170" formatCode="#&quot; &quot;##0.0\ [$грн.-422]"/>
    <numFmt numFmtId="171" formatCode="0.0"/>
    <numFmt numFmtId="172" formatCode="_-* #&quot; &quot;##0.0\ _ _-;\-* #&quot; &quot;##0.0\ _ _-;_-* &quot;-&quot;??\ _ _-;_-@_-"/>
    <numFmt numFmtId="173" formatCode="_-* #&quot; &quot;##0\ _ _-;\-* #&quot; &quot;##0\ _ _-;_-* &quot;-&quot;??\ _ _-;_-@_-"/>
    <numFmt numFmtId="174" formatCode="#&quot; &quot;##0_ ;\-#&quot; &quot;##0\ "/>
    <numFmt numFmtId="175" formatCode="0.0000%"/>
    <numFmt numFmtId="176" formatCode="0.000000%"/>
    <numFmt numFmtId="177" formatCode="#,##0.00&quot;₴&quot;"/>
    <numFmt numFmtId="178" formatCode="_-* #,##0.00&quot; &quot;_-;\-* #,##0.00&quot; &quot;_-;_-* &quot;-&quot;??&quot; &quot;_-;_-@_-"/>
  </numFmts>
  <fonts count="39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38"/>
    </font>
    <font>
      <b/>
      <sz val="10"/>
      <name val="Arial Cyr"/>
      <family val="2"/>
      <charset val="204"/>
    </font>
    <font>
      <sz val="10"/>
      <color indexed="9"/>
      <name val="Arial"/>
      <family val="2"/>
      <charset val="204"/>
    </font>
    <font>
      <b/>
      <sz val="12"/>
      <name val="Arial"/>
      <family val="2"/>
      <charset val="204"/>
    </font>
    <font>
      <b/>
      <sz val="10"/>
      <color indexed="9"/>
      <name val="Arial Cyr"/>
      <family val="2"/>
      <charset val="204"/>
    </font>
    <font>
      <b/>
      <sz val="10"/>
      <color indexed="22"/>
      <name val="Arial Cyr"/>
      <family val="2"/>
      <charset val="204"/>
    </font>
    <font>
      <sz val="10"/>
      <color indexed="22"/>
      <name val="Arial"/>
      <family val="2"/>
      <charset val="204"/>
    </font>
    <font>
      <b/>
      <sz val="14"/>
      <name val="Arial Cyr"/>
      <family val="2"/>
      <charset val="204"/>
    </font>
    <font>
      <b/>
      <sz val="12"/>
      <name val="Arial Cyr"/>
      <family val="2"/>
      <charset val="204"/>
    </font>
    <font>
      <b/>
      <sz val="16"/>
      <name val="Arial"/>
      <family val="2"/>
      <charset val="204"/>
    </font>
    <font>
      <b/>
      <sz val="8"/>
      <name val="Arial"/>
      <family val="2"/>
      <charset val="204"/>
    </font>
    <font>
      <b/>
      <sz val="8"/>
      <color indexed="9"/>
      <name val="Arial"/>
      <family val="2"/>
      <charset val="204"/>
    </font>
    <font>
      <b/>
      <sz val="8"/>
      <color indexed="22"/>
      <name val="Arial"/>
      <family val="2"/>
      <charset val="204"/>
    </font>
    <font>
      <b/>
      <sz val="10"/>
      <color indexed="22"/>
      <name val="Arial"/>
      <family val="2"/>
      <charset val="204"/>
    </font>
    <font>
      <sz val="8"/>
      <name val="Arial"/>
      <family val="2"/>
      <charset val="204"/>
    </font>
    <font>
      <b/>
      <sz val="7.5"/>
      <name val="Arial"/>
      <family val="2"/>
      <charset val="204"/>
    </font>
    <font>
      <sz val="10"/>
      <name val="Arial Cyr"/>
      <charset val="204"/>
    </font>
    <font>
      <sz val="10"/>
      <color indexed="55"/>
      <name val="Arial Cyr"/>
      <charset val="204"/>
    </font>
    <font>
      <sz val="10"/>
      <color indexed="55"/>
      <name val="Arial"/>
      <family val="2"/>
      <charset val="204"/>
    </font>
    <font>
      <b/>
      <sz val="8"/>
      <name val="Arial Cyr"/>
      <family val="2"/>
      <charset val="204"/>
    </font>
    <font>
      <sz val="7"/>
      <name val="Arial"/>
      <family val="2"/>
      <charset val="204"/>
    </font>
    <font>
      <sz val="8"/>
      <color rgb="FFFF0000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color theme="0"/>
      <name val="Arial"/>
      <family val="2"/>
      <charset val="204"/>
    </font>
    <font>
      <b/>
      <sz val="8"/>
      <color theme="0"/>
      <name val="Arial"/>
      <family val="2"/>
      <charset val="204"/>
    </font>
    <font>
      <b/>
      <sz val="10"/>
      <color theme="0"/>
      <name val="Arial"/>
      <family val="2"/>
      <charset val="204"/>
    </font>
    <font>
      <b/>
      <sz val="10"/>
      <color theme="1"/>
      <name val="Arial Cyr"/>
      <family val="2"/>
      <charset val="204"/>
    </font>
    <font>
      <sz val="10"/>
      <color theme="0"/>
      <name val="Arial Cyr"/>
      <charset val="204"/>
    </font>
    <font>
      <sz val="10"/>
      <color theme="1"/>
      <name val="Arial"/>
      <family val="2"/>
      <charset val="204"/>
    </font>
    <font>
      <b/>
      <sz val="16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8"/>
      <color theme="0"/>
      <name val="Arial"/>
      <family val="2"/>
      <charset val="204"/>
    </font>
    <font>
      <b/>
      <u/>
      <sz val="11"/>
      <color rgb="FFFF0000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medium">
        <color indexed="64"/>
      </right>
      <top/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/>
      <diagonal/>
    </border>
    <border>
      <left style="medium">
        <color indexed="64"/>
      </left>
      <right/>
      <top style="thin">
        <color theme="0"/>
      </top>
      <bottom style="thin">
        <color theme="0"/>
      </bottom>
      <diagonal/>
    </border>
    <border>
      <left/>
      <right/>
      <top/>
      <bottom style="medium">
        <color indexed="64"/>
      </bottom>
      <diagonal/>
    </border>
  </borders>
  <cellStyleXfs count="52">
    <xf numFmtId="0" fontId="0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1" fillId="0" borderId="0"/>
  </cellStyleXfs>
  <cellXfs count="248">
    <xf numFmtId="0" fontId="0" fillId="0" borderId="0" xfId="0"/>
    <xf numFmtId="0" fontId="8" fillId="3" borderId="0" xfId="23" applyFont="1" applyFill="1" applyProtection="1"/>
    <xf numFmtId="0" fontId="4" fillId="3" borderId="0" xfId="23" applyFill="1" applyProtection="1"/>
    <xf numFmtId="0" fontId="0" fillId="3" borderId="0" xfId="0" applyFill="1" applyProtection="1"/>
    <xf numFmtId="0" fontId="4" fillId="0" borderId="0" xfId="23" applyProtection="1"/>
    <xf numFmtId="0" fontId="4" fillId="0" borderId="0" xfId="23" applyFill="1" applyProtection="1"/>
    <xf numFmtId="0" fontId="8" fillId="3" borderId="0" xfId="23" applyFont="1" applyFill="1" applyBorder="1" applyProtection="1"/>
    <xf numFmtId="0" fontId="7" fillId="3" borderId="0" xfId="0" applyFont="1" applyFill="1" applyBorder="1" applyAlignment="1" applyProtection="1"/>
    <xf numFmtId="0" fontId="4" fillId="0" borderId="0" xfId="23" applyFont="1" applyFill="1" applyProtection="1"/>
    <xf numFmtId="10" fontId="3" fillId="0" borderId="1" xfId="23" applyNumberFormat="1" applyFont="1" applyFill="1" applyBorder="1" applyAlignment="1" applyProtection="1">
      <alignment horizontal="center"/>
    </xf>
    <xf numFmtId="10" fontId="16" fillId="0" borderId="1" xfId="23" applyNumberFormat="1" applyFont="1" applyFill="1" applyBorder="1" applyAlignment="1" applyProtection="1">
      <alignment horizontal="center"/>
    </xf>
    <xf numFmtId="0" fontId="8" fillId="0" borderId="0" xfId="23" applyFont="1" applyFill="1" applyProtection="1"/>
    <xf numFmtId="169" fontId="3" fillId="0" borderId="1" xfId="23" applyNumberFormat="1" applyFont="1" applyFill="1" applyBorder="1" applyAlignment="1" applyProtection="1">
      <alignment horizontal="center"/>
    </xf>
    <xf numFmtId="169" fontId="16" fillId="0" borderId="1" xfId="23" applyNumberFormat="1" applyFont="1" applyFill="1" applyBorder="1" applyAlignment="1" applyProtection="1">
      <alignment horizontal="center"/>
    </xf>
    <xf numFmtId="0" fontId="7" fillId="3" borderId="0" xfId="0" applyFont="1" applyFill="1" applyBorder="1" applyAlignment="1" applyProtection="1">
      <alignment horizontal="left"/>
    </xf>
    <xf numFmtId="0" fontId="19" fillId="3" borderId="0" xfId="23" applyFont="1" applyFill="1" applyProtection="1"/>
    <xf numFmtId="0" fontId="18" fillId="3" borderId="0" xfId="23" applyFont="1" applyFill="1" applyBorder="1" applyAlignment="1" applyProtection="1">
      <alignment horizontal="center"/>
    </xf>
    <xf numFmtId="166" fontId="3" fillId="0" borderId="1" xfId="23" applyNumberFormat="1" applyFont="1" applyFill="1" applyBorder="1" applyAlignment="1" applyProtection="1">
      <alignment horizontal="center"/>
    </xf>
    <xf numFmtId="10" fontId="3" fillId="3" borderId="0" xfId="23" applyNumberFormat="1" applyFont="1" applyFill="1" applyBorder="1" applyAlignment="1" applyProtection="1">
      <alignment horizontal="center"/>
    </xf>
    <xf numFmtId="10" fontId="16" fillId="2" borderId="1" xfId="23" applyNumberFormat="1" applyFont="1" applyFill="1" applyBorder="1" applyAlignment="1" applyProtection="1">
      <alignment horizontal="center" vertical="center" wrapText="1"/>
    </xf>
    <xf numFmtId="170" fontId="20" fillId="0" borderId="1" xfId="23" applyNumberFormat="1" applyFont="1" applyFill="1" applyBorder="1" applyAlignment="1" applyProtection="1">
      <alignment horizontal="center"/>
    </xf>
    <xf numFmtId="169" fontId="20" fillId="0" borderId="1" xfId="23" applyNumberFormat="1" applyFont="1" applyFill="1" applyBorder="1" applyAlignment="1" applyProtection="1">
      <alignment horizontal="center"/>
    </xf>
    <xf numFmtId="169" fontId="20" fillId="3" borderId="1" xfId="23" applyNumberFormat="1" applyFont="1" applyFill="1" applyBorder="1" applyAlignment="1" applyProtection="1">
      <alignment horizontal="center"/>
    </xf>
    <xf numFmtId="165" fontId="4" fillId="3" borderId="0" xfId="23" applyNumberFormat="1" applyFont="1" applyFill="1" applyProtection="1"/>
    <xf numFmtId="0" fontId="4" fillId="3" borderId="0" xfId="23" applyFont="1" applyFill="1" applyBorder="1" applyProtection="1"/>
    <xf numFmtId="0" fontId="4" fillId="3" borderId="0" xfId="23" applyFont="1" applyFill="1" applyProtection="1"/>
    <xf numFmtId="0" fontId="11" fillId="3" borderId="0" xfId="0" applyFont="1" applyFill="1" applyBorder="1" applyAlignment="1" applyProtection="1"/>
    <xf numFmtId="165" fontId="12" fillId="3" borderId="0" xfId="23" applyNumberFormat="1" applyFont="1" applyFill="1" applyProtection="1"/>
    <xf numFmtId="0" fontId="12" fillId="3" borderId="0" xfId="23" applyFont="1" applyFill="1" applyBorder="1" applyProtection="1"/>
    <xf numFmtId="4" fontId="17" fillId="3" borderId="3" xfId="23" applyNumberFormat="1" applyFont="1" applyFill="1" applyBorder="1" applyAlignment="1" applyProtection="1">
      <alignment horizontal="center"/>
    </xf>
    <xf numFmtId="2" fontId="4" fillId="0" borderId="1" xfId="23" applyNumberFormat="1" applyBorder="1" applyProtection="1"/>
    <xf numFmtId="167" fontId="4" fillId="0" borderId="1" xfId="23" applyNumberFormat="1" applyBorder="1" applyProtection="1"/>
    <xf numFmtId="0" fontId="6" fillId="3" borderId="0" xfId="23" applyFont="1" applyFill="1" applyAlignment="1" applyProtection="1">
      <alignment horizontal="right"/>
    </xf>
    <xf numFmtId="10" fontId="6" fillId="3" borderId="0" xfId="23" applyNumberFormat="1" applyFont="1" applyFill="1" applyProtection="1"/>
    <xf numFmtId="0" fontId="3" fillId="3" borderId="0" xfId="23" applyFont="1" applyFill="1" applyAlignment="1" applyProtection="1">
      <alignment horizontal="right"/>
    </xf>
    <xf numFmtId="9" fontId="3" fillId="3" borderId="0" xfId="23" applyNumberFormat="1" applyFont="1" applyFill="1" applyAlignment="1" applyProtection="1">
      <alignment horizontal="left"/>
    </xf>
    <xf numFmtId="9" fontId="4" fillId="3" borderId="0" xfId="23" applyNumberFormat="1" applyFill="1" applyAlignment="1" applyProtection="1">
      <alignment horizontal="left"/>
    </xf>
    <xf numFmtId="0" fontId="0" fillId="0" borderId="0" xfId="0" applyProtection="1"/>
    <xf numFmtId="0" fontId="0" fillId="0" borderId="0" xfId="0" applyFill="1"/>
    <xf numFmtId="9" fontId="3" fillId="0" borderId="0" xfId="23" applyNumberFormat="1" applyFont="1" applyFill="1" applyAlignment="1" applyProtection="1">
      <alignment horizontal="left"/>
    </xf>
    <xf numFmtId="9" fontId="4" fillId="0" borderId="0" xfId="23" applyNumberFormat="1" applyFill="1" applyAlignment="1" applyProtection="1">
      <alignment horizontal="left"/>
    </xf>
    <xf numFmtId="0" fontId="4" fillId="0" borderId="0" xfId="23" applyFont="1" applyProtection="1"/>
    <xf numFmtId="0" fontId="16" fillId="3" borderId="0" xfId="23" applyFont="1" applyFill="1" applyBorder="1" applyAlignment="1" applyProtection="1">
      <alignment horizontal="center"/>
    </xf>
    <xf numFmtId="0" fontId="3" fillId="3" borderId="0" xfId="23" applyFont="1" applyFill="1" applyProtection="1"/>
    <xf numFmtId="0" fontId="16" fillId="3" borderId="0" xfId="23" applyFont="1" applyFill="1" applyAlignment="1" applyProtection="1">
      <alignment horizontal="center"/>
    </xf>
    <xf numFmtId="169" fontId="4" fillId="0" borderId="3" xfId="23" applyNumberFormat="1" applyFont="1" applyFill="1" applyBorder="1" applyAlignment="1" applyProtection="1">
      <alignment horizontal="center"/>
    </xf>
    <xf numFmtId="169" fontId="4" fillId="0" borderId="4" xfId="23" applyNumberFormat="1" applyFont="1" applyFill="1" applyBorder="1" applyAlignment="1" applyProtection="1">
      <alignment horizontal="center"/>
    </xf>
    <xf numFmtId="0" fontId="3" fillId="3" borderId="5" xfId="23" applyFont="1" applyFill="1" applyBorder="1" applyProtection="1"/>
    <xf numFmtId="9" fontId="16" fillId="3" borderId="0" xfId="23" applyNumberFormat="1" applyFont="1" applyFill="1" applyAlignment="1" applyProtection="1">
      <alignment horizontal="center"/>
    </xf>
    <xf numFmtId="0" fontId="16" fillId="0" borderId="0" xfId="23" applyFont="1" applyAlignment="1" applyProtection="1">
      <alignment horizontal="center"/>
    </xf>
    <xf numFmtId="0" fontId="22" fillId="3" borderId="0" xfId="0" applyFont="1" applyFill="1" applyProtection="1"/>
    <xf numFmtId="0" fontId="23" fillId="3" borderId="0" xfId="0" applyFont="1" applyFill="1" applyProtection="1"/>
    <xf numFmtId="0" fontId="24" fillId="0" borderId="0" xfId="23" applyFont="1" applyFill="1" applyProtection="1"/>
    <xf numFmtId="0" fontId="24" fillId="3" borderId="0" xfId="23" applyFont="1" applyFill="1" applyProtection="1"/>
    <xf numFmtId="0" fontId="27" fillId="0" borderId="0" xfId="23" applyFont="1" applyProtection="1"/>
    <xf numFmtId="0" fontId="27" fillId="0" borderId="0" xfId="23" applyFont="1" applyFill="1" applyProtection="1"/>
    <xf numFmtId="0" fontId="28" fillId="0" borderId="0" xfId="23" applyFont="1" applyFill="1" applyProtection="1"/>
    <xf numFmtId="1" fontId="27" fillId="0" borderId="0" xfId="23" applyNumberFormat="1" applyFont="1" applyFill="1" applyProtection="1"/>
    <xf numFmtId="0" fontId="29" fillId="3" borderId="0" xfId="23" applyFont="1" applyFill="1" applyBorder="1" applyProtection="1"/>
    <xf numFmtId="0" fontId="7" fillId="0" borderId="0" xfId="0" applyFont="1" applyFill="1" applyBorder="1" applyAlignment="1" applyProtection="1">
      <alignment horizontal="left"/>
    </xf>
    <xf numFmtId="0" fontId="8" fillId="4" borderId="0" xfId="23" applyFont="1" applyFill="1" applyProtection="1"/>
    <xf numFmtId="0" fontId="4" fillId="4" borderId="0" xfId="23" applyFill="1" applyProtection="1"/>
    <xf numFmtId="0" fontId="3" fillId="4" borderId="0" xfId="23" applyFont="1" applyFill="1" applyProtection="1"/>
    <xf numFmtId="0" fontId="0" fillId="4" borderId="0" xfId="0" applyFill="1" applyProtection="1"/>
    <xf numFmtId="1" fontId="27" fillId="0" borderId="0" xfId="46" applyNumberFormat="1" applyFont="1" applyFill="1" applyProtection="1"/>
    <xf numFmtId="1" fontId="27" fillId="0" borderId="0" xfId="48" applyNumberFormat="1" applyFont="1" applyFill="1" applyProtection="1"/>
    <xf numFmtId="9" fontId="27" fillId="0" borderId="0" xfId="24" applyFont="1" applyFill="1" applyProtection="1"/>
    <xf numFmtId="10" fontId="27" fillId="0" borderId="0" xfId="24" applyNumberFormat="1" applyFont="1" applyFill="1" applyProtection="1"/>
    <xf numFmtId="0" fontId="20" fillId="0" borderId="0" xfId="23" applyFont="1" applyProtection="1"/>
    <xf numFmtId="0" fontId="25" fillId="2" borderId="1" xfId="0" applyFont="1" applyFill="1" applyBorder="1" applyAlignment="1" applyProtection="1">
      <alignment horizontal="center" vertical="center" wrapText="1"/>
    </xf>
    <xf numFmtId="0" fontId="25" fillId="2" borderId="2" xfId="0" applyFont="1" applyFill="1" applyBorder="1" applyAlignment="1" applyProtection="1">
      <alignment horizontal="center" vertical="center" wrapText="1"/>
    </xf>
    <xf numFmtId="0" fontId="26" fillId="0" borderId="0" xfId="23" applyFont="1" applyProtection="1"/>
    <xf numFmtId="172" fontId="27" fillId="0" borderId="0" xfId="47" applyNumberFormat="1" applyFont="1" applyFill="1" applyProtection="1"/>
    <xf numFmtId="173" fontId="27" fillId="0" borderId="0" xfId="47" applyNumberFormat="1" applyFont="1" applyFill="1" applyProtection="1"/>
    <xf numFmtId="166" fontId="4" fillId="0" borderId="3" xfId="24" applyNumberFormat="1" applyFont="1" applyFill="1" applyBorder="1" applyAlignment="1" applyProtection="1">
      <alignment horizontal="center"/>
    </xf>
    <xf numFmtId="166" fontId="4" fillId="0" borderId="4" xfId="24" applyNumberFormat="1" applyFont="1" applyFill="1" applyBorder="1" applyAlignment="1" applyProtection="1">
      <alignment horizontal="center"/>
    </xf>
    <xf numFmtId="171" fontId="30" fillId="3" borderId="0" xfId="23" applyNumberFormat="1" applyFont="1" applyFill="1" applyBorder="1" applyAlignment="1" applyProtection="1">
      <alignment horizontal="center" vertical="center"/>
    </xf>
    <xf numFmtId="171" fontId="3" fillId="0" borderId="1" xfId="23" applyNumberFormat="1" applyFont="1" applyFill="1" applyBorder="1" applyAlignment="1" applyProtection="1">
      <alignment horizontal="center"/>
    </xf>
    <xf numFmtId="171" fontId="16" fillId="0" borderId="1" xfId="23" applyNumberFormat="1" applyFont="1" applyFill="1" applyBorder="1" applyAlignment="1" applyProtection="1">
      <alignment horizontal="center"/>
    </xf>
    <xf numFmtId="1" fontId="15" fillId="0" borderId="6" xfId="23" applyNumberFormat="1" applyFont="1" applyFill="1" applyBorder="1" applyAlignment="1" applyProtection="1">
      <alignment horizontal="center" vertical="top" wrapText="1"/>
      <protection locked="0"/>
    </xf>
    <xf numFmtId="1" fontId="3" fillId="0" borderId="6" xfId="23" applyNumberFormat="1" applyFont="1" applyFill="1" applyBorder="1" applyAlignment="1" applyProtection="1">
      <alignment horizontal="center" vertical="center"/>
    </xf>
    <xf numFmtId="0" fontId="0" fillId="0" borderId="0" xfId="0" applyFill="1" applyProtection="1"/>
    <xf numFmtId="0" fontId="7" fillId="0" borderId="0" xfId="0" applyFont="1" applyFill="1" applyBorder="1" applyAlignment="1" applyProtection="1"/>
    <xf numFmtId="1" fontId="4" fillId="0" borderId="0" xfId="23" applyNumberFormat="1" applyFill="1" applyAlignment="1" applyProtection="1">
      <alignment vertical="top" wrapText="1"/>
    </xf>
    <xf numFmtId="0" fontId="3" fillId="0" borderId="0" xfId="23" applyFont="1" applyFill="1" applyProtection="1"/>
    <xf numFmtId="0" fontId="16" fillId="0" borderId="0" xfId="23" applyFont="1" applyFill="1" applyAlignment="1" applyProtection="1">
      <alignment horizontal="center"/>
    </xf>
    <xf numFmtId="0" fontId="7" fillId="0" borderId="2" xfId="0" applyFont="1" applyFill="1" applyBorder="1" applyAlignment="1" applyProtection="1">
      <alignment horizontal="left"/>
    </xf>
    <xf numFmtId="10" fontId="3" fillId="0" borderId="0" xfId="23" applyNumberFormat="1" applyFont="1" applyFill="1" applyAlignment="1" applyProtection="1">
      <alignment horizontal="center"/>
    </xf>
    <xf numFmtId="10" fontId="3" fillId="0" borderId="0" xfId="46" applyNumberFormat="1" applyFont="1" applyFill="1" applyAlignment="1" applyProtection="1">
      <alignment horizontal="center" vertical="top" wrapText="1"/>
    </xf>
    <xf numFmtId="174" fontId="3" fillId="0" borderId="1" xfId="47" applyNumberFormat="1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/>
    <xf numFmtId="1" fontId="29" fillId="0" borderId="0" xfId="23" applyNumberFormat="1" applyFont="1" applyFill="1" applyAlignment="1" applyProtection="1">
      <alignment vertical="top" wrapText="1"/>
    </xf>
    <xf numFmtId="0" fontId="17" fillId="0" borderId="0" xfId="23" applyFont="1" applyFill="1" applyAlignment="1" applyProtection="1">
      <alignment horizontal="center"/>
    </xf>
    <xf numFmtId="165" fontId="29" fillId="0" borderId="0" xfId="23" applyNumberFormat="1" applyFont="1" applyFill="1" applyProtection="1"/>
    <xf numFmtId="0" fontId="17" fillId="0" borderId="0" xfId="23" applyFont="1" applyFill="1" applyBorder="1" applyAlignment="1" applyProtection="1">
      <alignment horizontal="center"/>
    </xf>
    <xf numFmtId="169" fontId="3" fillId="0" borderId="0" xfId="23" applyNumberFormat="1" applyFont="1" applyFill="1" applyBorder="1" applyAlignment="1" applyProtection="1">
      <alignment horizontal="center"/>
    </xf>
    <xf numFmtId="0" fontId="19" fillId="0" borderId="0" xfId="23" applyFont="1" applyFill="1" applyProtection="1"/>
    <xf numFmtId="0" fontId="18" fillId="0" borderId="0" xfId="23" applyFont="1" applyFill="1" applyBorder="1" applyAlignment="1" applyProtection="1">
      <alignment horizontal="center"/>
    </xf>
    <xf numFmtId="169" fontId="3" fillId="0" borderId="2" xfId="23" applyNumberFormat="1" applyFont="1" applyFill="1" applyBorder="1" applyProtection="1"/>
    <xf numFmtId="10" fontId="3" fillId="0" borderId="0" xfId="23" applyNumberFormat="1" applyFont="1" applyFill="1" applyBorder="1" applyAlignment="1" applyProtection="1">
      <alignment horizontal="center"/>
    </xf>
    <xf numFmtId="0" fontId="25" fillId="0" borderId="1" xfId="0" applyFont="1" applyFill="1" applyBorder="1" applyAlignment="1" applyProtection="1">
      <alignment horizontal="center" vertical="center" wrapText="1"/>
    </xf>
    <xf numFmtId="0" fontId="25" fillId="0" borderId="2" xfId="0" applyFont="1" applyFill="1" applyBorder="1" applyAlignment="1" applyProtection="1">
      <alignment horizontal="center" vertical="center" wrapText="1"/>
    </xf>
    <xf numFmtId="10" fontId="16" fillId="0" borderId="1" xfId="23" applyNumberFormat="1" applyFont="1" applyFill="1" applyBorder="1" applyAlignment="1" applyProtection="1">
      <alignment horizontal="center" vertical="center" wrapText="1"/>
    </xf>
    <xf numFmtId="165" fontId="4" fillId="0" borderId="0" xfId="23" applyNumberFormat="1" applyFont="1" applyFill="1" applyProtection="1"/>
    <xf numFmtId="0" fontId="4" fillId="0" borderId="0" xfId="23" applyFont="1" applyFill="1" applyBorder="1" applyProtection="1"/>
    <xf numFmtId="0" fontId="16" fillId="0" borderId="0" xfId="23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/>
    <xf numFmtId="165" fontId="12" fillId="0" borderId="0" xfId="23" applyNumberFormat="1" applyFont="1" applyFill="1" applyProtection="1"/>
    <xf numFmtId="0" fontId="12" fillId="0" borderId="0" xfId="23" applyFont="1" applyFill="1" applyBorder="1" applyProtection="1"/>
    <xf numFmtId="165" fontId="16" fillId="0" borderId="7" xfId="23" applyNumberFormat="1" applyFont="1" applyFill="1" applyBorder="1" applyAlignment="1" applyProtection="1">
      <alignment horizontal="center" vertical="center" wrapText="1"/>
    </xf>
    <xf numFmtId="0" fontId="6" fillId="0" borderId="0" xfId="23" applyFont="1" applyFill="1" applyAlignment="1" applyProtection="1">
      <alignment horizontal="right"/>
    </xf>
    <xf numFmtId="10" fontId="6" fillId="0" borderId="0" xfId="23" applyNumberFormat="1" applyFont="1" applyFill="1" applyProtection="1"/>
    <xf numFmtId="0" fontId="3" fillId="0" borderId="0" xfId="23" applyFont="1" applyFill="1" applyAlignment="1" applyProtection="1">
      <alignment horizontal="right"/>
    </xf>
    <xf numFmtId="9" fontId="16" fillId="0" borderId="0" xfId="23" applyNumberFormat="1" applyFont="1" applyFill="1" applyAlignment="1" applyProtection="1">
      <alignment horizontal="center"/>
    </xf>
    <xf numFmtId="0" fontId="8" fillId="3" borderId="8" xfId="23" applyFont="1" applyFill="1" applyBorder="1" applyProtection="1"/>
    <xf numFmtId="0" fontId="4" fillId="3" borderId="9" xfId="23" applyFill="1" applyBorder="1" applyProtection="1"/>
    <xf numFmtId="4" fontId="4" fillId="3" borderId="10" xfId="23" applyNumberFormat="1" applyFill="1" applyBorder="1" applyProtection="1"/>
    <xf numFmtId="168" fontId="9" fillId="2" borderId="11" xfId="23" applyNumberFormat="1" applyFont="1" applyFill="1" applyBorder="1" applyAlignment="1" applyProtection="1">
      <alignment horizontal="right" vertical="center"/>
    </xf>
    <xf numFmtId="165" fontId="16" fillId="5" borderId="7" xfId="23" applyNumberFormat="1" applyFont="1" applyFill="1" applyBorder="1" applyAlignment="1" applyProtection="1">
      <alignment horizontal="center" vertical="center" wrapText="1"/>
    </xf>
    <xf numFmtId="0" fontId="4" fillId="7" borderId="0" xfId="23" applyFill="1" applyProtection="1"/>
    <xf numFmtId="0" fontId="4" fillId="7" borderId="0" xfId="23" applyFont="1" applyFill="1" applyProtection="1"/>
    <xf numFmtId="0" fontId="8" fillId="7" borderId="0" xfId="23" applyFont="1" applyFill="1" applyProtection="1"/>
    <xf numFmtId="0" fontId="29" fillId="4" borderId="0" xfId="23" applyFont="1" applyFill="1" applyProtection="1"/>
    <xf numFmtId="168" fontId="9" fillId="2" borderId="12" xfId="23" applyNumberFormat="1" applyFont="1" applyFill="1" applyBorder="1" applyAlignment="1" applyProtection="1">
      <alignment horizontal="right" vertical="center"/>
    </xf>
    <xf numFmtId="0" fontId="4" fillId="0" borderId="25" xfId="23" applyBorder="1" applyAlignment="1" applyProtection="1">
      <alignment horizontal="center"/>
    </xf>
    <xf numFmtId="0" fontId="4" fillId="0" borderId="21" xfId="23" applyBorder="1" applyAlignment="1" applyProtection="1">
      <alignment horizontal="center"/>
    </xf>
    <xf numFmtId="0" fontId="32" fillId="3" borderId="0" xfId="0" applyFont="1" applyFill="1" applyBorder="1" applyAlignment="1" applyProtection="1"/>
    <xf numFmtId="14" fontId="8" fillId="3" borderId="0" xfId="23" applyNumberFormat="1" applyFont="1" applyFill="1" applyProtection="1"/>
    <xf numFmtId="14" fontId="4" fillId="0" borderId="1" xfId="23" applyNumberFormat="1" applyBorder="1" applyAlignment="1" applyProtection="1">
      <alignment horizontal="center"/>
    </xf>
    <xf numFmtId="177" fontId="8" fillId="3" borderId="0" xfId="23" applyNumberFormat="1" applyFont="1" applyFill="1" applyProtection="1"/>
    <xf numFmtId="0" fontId="33" fillId="4" borderId="0" xfId="0" applyFont="1" applyFill="1" applyProtection="1"/>
    <xf numFmtId="0" fontId="16" fillId="4" borderId="0" xfId="23" applyFont="1" applyFill="1" applyAlignment="1" applyProtection="1">
      <alignment horizontal="center"/>
    </xf>
    <xf numFmtId="14" fontId="4" fillId="0" borderId="15" xfId="23" applyNumberFormat="1" applyBorder="1" applyAlignment="1" applyProtection="1">
      <alignment horizontal="center"/>
    </xf>
    <xf numFmtId="2" fontId="4" fillId="0" borderId="15" xfId="23" applyNumberFormat="1" applyBorder="1" applyProtection="1"/>
    <xf numFmtId="167" fontId="4" fillId="0" borderId="15" xfId="23" applyNumberFormat="1" applyBorder="1" applyProtection="1"/>
    <xf numFmtId="0" fontId="0" fillId="0" borderId="0" xfId="0" applyProtection="1">
      <protection hidden="1"/>
    </xf>
    <xf numFmtId="10" fontId="0" fillId="0" borderId="0" xfId="24" applyNumberFormat="1" applyFont="1" applyProtection="1">
      <protection hidden="1"/>
    </xf>
    <xf numFmtId="172" fontId="0" fillId="0" borderId="0" xfId="47" applyNumberFormat="1" applyFont="1" applyProtection="1">
      <protection hidden="1"/>
    </xf>
    <xf numFmtId="0" fontId="28" fillId="0" borderId="0" xfId="23" applyFont="1" applyProtection="1"/>
    <xf numFmtId="0" fontId="0" fillId="6" borderId="0" xfId="0" applyFill="1" applyProtection="1">
      <protection hidden="1"/>
    </xf>
    <xf numFmtId="10" fontId="0" fillId="6" borderId="0" xfId="24" applyNumberFormat="1" applyFont="1" applyFill="1" applyProtection="1">
      <protection hidden="1"/>
    </xf>
    <xf numFmtId="4" fontId="2" fillId="6" borderId="0" xfId="2" applyNumberFormat="1" applyFont="1" applyFill="1" applyBorder="1" applyAlignment="1" applyProtection="1">
      <alignment horizontal="center"/>
      <protection hidden="1"/>
    </xf>
    <xf numFmtId="175" fontId="2" fillId="6" borderId="1" xfId="49" applyNumberFormat="1" applyFont="1" applyFill="1" applyBorder="1" applyAlignment="1">
      <alignment horizontal="center"/>
    </xf>
    <xf numFmtId="176" fontId="2" fillId="6" borderId="1" xfId="24" applyNumberFormat="1" applyFont="1" applyFill="1" applyBorder="1" applyAlignment="1" applyProtection="1">
      <alignment horizontal="right"/>
      <protection hidden="1"/>
    </xf>
    <xf numFmtId="0" fontId="18" fillId="4" borderId="0" xfId="23" applyFont="1" applyFill="1" applyBorder="1" applyAlignment="1" applyProtection="1">
      <alignment horizontal="center"/>
    </xf>
    <xf numFmtId="1" fontId="31" fillId="4" borderId="29" xfId="23" applyNumberFormat="1" applyFont="1" applyFill="1" applyBorder="1" applyAlignment="1" applyProtection="1">
      <alignment horizontal="center" vertical="center"/>
    </xf>
    <xf numFmtId="10" fontId="31" fillId="4" borderId="29" xfId="23" applyNumberFormat="1" applyFont="1" applyFill="1" applyBorder="1" applyAlignment="1" applyProtection="1">
      <alignment horizontal="center"/>
    </xf>
    <xf numFmtId="0" fontId="30" fillId="4" borderId="29" xfId="23" applyFont="1" applyFill="1" applyBorder="1" applyAlignment="1" applyProtection="1">
      <alignment horizontal="center"/>
    </xf>
    <xf numFmtId="10" fontId="30" fillId="4" borderId="29" xfId="23" applyNumberFormat="1" applyFont="1" applyFill="1" applyBorder="1" applyAlignment="1" applyProtection="1">
      <alignment horizontal="center"/>
    </xf>
    <xf numFmtId="169" fontId="30" fillId="4" borderId="29" xfId="23" applyNumberFormat="1" applyFont="1" applyFill="1" applyBorder="1" applyAlignment="1" applyProtection="1">
      <alignment horizontal="center"/>
    </xf>
    <xf numFmtId="0" fontId="30" fillId="4" borderId="36" xfId="23" applyFont="1" applyFill="1" applyBorder="1" applyAlignment="1" applyProtection="1">
      <alignment horizontal="center"/>
    </xf>
    <xf numFmtId="0" fontId="30" fillId="4" borderId="35" xfId="23" applyFont="1" applyFill="1" applyBorder="1" applyAlignment="1" applyProtection="1">
      <alignment horizontal="center"/>
    </xf>
    <xf numFmtId="10" fontId="30" fillId="4" borderId="35" xfId="23" applyNumberFormat="1" applyFont="1" applyFill="1" applyBorder="1" applyAlignment="1" applyProtection="1">
      <alignment horizontal="center"/>
    </xf>
    <xf numFmtId="0" fontId="30" fillId="4" borderId="32" xfId="23" applyFont="1" applyFill="1" applyBorder="1" applyAlignment="1" applyProtection="1">
      <alignment horizontal="center"/>
    </xf>
    <xf numFmtId="10" fontId="30" fillId="4" borderId="36" xfId="23" applyNumberFormat="1" applyFont="1" applyFill="1" applyBorder="1" applyAlignment="1" applyProtection="1">
      <alignment horizontal="center"/>
    </xf>
    <xf numFmtId="0" fontId="20" fillId="4" borderId="0" xfId="23" applyFont="1" applyFill="1" applyProtection="1"/>
    <xf numFmtId="0" fontId="34" fillId="4" borderId="0" xfId="23" applyFont="1" applyFill="1" applyProtection="1"/>
    <xf numFmtId="0" fontId="34" fillId="3" borderId="0" xfId="23" applyFont="1" applyFill="1" applyProtection="1"/>
    <xf numFmtId="1" fontId="35" fillId="6" borderId="30" xfId="23" applyNumberFormat="1" applyFont="1" applyFill="1" applyBorder="1" applyAlignment="1" applyProtection="1">
      <alignment horizontal="center" vertical="top" wrapText="1"/>
      <protection locked="0"/>
    </xf>
    <xf numFmtId="1" fontId="34" fillId="3" borderId="31" xfId="23" applyNumberFormat="1" applyFont="1" applyFill="1" applyBorder="1" applyAlignment="1" applyProtection="1">
      <alignment vertical="top" wrapText="1"/>
    </xf>
    <xf numFmtId="10" fontId="36" fillId="3" borderId="33" xfId="23" applyNumberFormat="1" applyFont="1" applyFill="1" applyBorder="1" applyAlignment="1" applyProtection="1">
      <alignment horizontal="center"/>
    </xf>
    <xf numFmtId="10" fontId="36" fillId="3" borderId="31" xfId="23" applyNumberFormat="1" applyFont="1" applyFill="1" applyBorder="1" applyAlignment="1" applyProtection="1">
      <alignment horizontal="center"/>
    </xf>
    <xf numFmtId="10" fontId="36" fillId="3" borderId="31" xfId="46" applyNumberFormat="1" applyFont="1" applyFill="1" applyBorder="1" applyAlignment="1" applyProtection="1">
      <alignment horizontal="center" vertical="top" wrapText="1"/>
    </xf>
    <xf numFmtId="174" fontId="36" fillId="3" borderId="33" xfId="47" applyNumberFormat="1" applyFont="1" applyFill="1" applyBorder="1" applyAlignment="1" applyProtection="1">
      <alignment horizontal="center"/>
    </xf>
    <xf numFmtId="0" fontId="34" fillId="4" borderId="31" xfId="23" applyFont="1" applyFill="1" applyBorder="1" applyProtection="1"/>
    <xf numFmtId="169" fontId="36" fillId="0" borderId="33" xfId="23" applyNumberFormat="1" applyFont="1" applyFill="1" applyBorder="1" applyAlignment="1" applyProtection="1">
      <alignment horizontal="center"/>
    </xf>
    <xf numFmtId="0" fontId="32" fillId="3" borderId="0" xfId="0" applyFont="1" applyFill="1" applyBorder="1" applyAlignment="1" applyProtection="1">
      <alignment horizontal="left"/>
    </xf>
    <xf numFmtId="169" fontId="36" fillId="3" borderId="31" xfId="23" applyNumberFormat="1" applyFont="1" applyFill="1" applyBorder="1" applyAlignment="1" applyProtection="1">
      <alignment horizontal="center"/>
    </xf>
    <xf numFmtId="0" fontId="32" fillId="3" borderId="2" xfId="0" applyFont="1" applyFill="1" applyBorder="1" applyAlignment="1" applyProtection="1">
      <alignment horizontal="left"/>
    </xf>
    <xf numFmtId="169" fontId="36" fillId="3" borderId="34" xfId="23" applyNumberFormat="1" applyFont="1" applyFill="1" applyBorder="1" applyProtection="1"/>
    <xf numFmtId="4" fontId="36" fillId="0" borderId="33" xfId="23" applyNumberFormat="1" applyFont="1" applyFill="1" applyBorder="1" applyAlignment="1" applyProtection="1">
      <alignment horizontal="center"/>
    </xf>
    <xf numFmtId="10" fontId="31" fillId="4" borderId="31" xfId="23" applyNumberFormat="1" applyFont="1" applyFill="1" applyBorder="1" applyAlignment="1" applyProtection="1">
      <alignment horizontal="center"/>
    </xf>
    <xf numFmtId="0" fontId="8" fillId="4" borderId="0" xfId="23" applyFont="1" applyFill="1" applyBorder="1" applyProtection="1"/>
    <xf numFmtId="0" fontId="24" fillId="4" borderId="0" xfId="23" applyFont="1" applyFill="1" applyProtection="1"/>
    <xf numFmtId="0" fontId="27" fillId="4" borderId="0" xfId="23" applyFont="1" applyFill="1" applyProtection="1"/>
    <xf numFmtId="10" fontId="0" fillId="6" borderId="0" xfId="0" applyNumberFormat="1" applyFill="1" applyProtection="1">
      <protection hidden="1"/>
    </xf>
    <xf numFmtId="4" fontId="36" fillId="0" borderId="34" xfId="23" applyNumberFormat="1" applyFont="1" applyFill="1" applyBorder="1" applyAlignment="1" applyProtection="1">
      <alignment horizontal="center"/>
    </xf>
    <xf numFmtId="0" fontId="32" fillId="4" borderId="2" xfId="0" applyFont="1" applyFill="1" applyBorder="1" applyAlignment="1" applyProtection="1">
      <alignment horizontal="left"/>
    </xf>
    <xf numFmtId="4" fontId="36" fillId="4" borderId="34" xfId="23" applyNumberFormat="1" applyFont="1" applyFill="1" applyBorder="1" applyAlignment="1" applyProtection="1">
      <alignment horizontal="center"/>
    </xf>
    <xf numFmtId="9" fontId="27" fillId="4" borderId="0" xfId="24" applyFont="1" applyFill="1" applyProtection="1"/>
    <xf numFmtId="14" fontId="16" fillId="3" borderId="37" xfId="23" applyNumberFormat="1" applyFont="1" applyFill="1" applyBorder="1" applyAlignment="1" applyProtection="1">
      <alignment horizontal="center"/>
    </xf>
    <xf numFmtId="1" fontId="3" fillId="4" borderId="38" xfId="23" applyNumberFormat="1" applyFont="1" applyFill="1" applyBorder="1" applyAlignment="1" applyProtection="1">
      <alignment horizontal="center" vertical="center"/>
    </xf>
    <xf numFmtId="0" fontId="22" fillId="3" borderId="35" xfId="0" applyFont="1" applyFill="1" applyBorder="1" applyProtection="1"/>
    <xf numFmtId="10" fontId="30" fillId="4" borderId="39" xfId="23" applyNumberFormat="1" applyFont="1" applyFill="1" applyBorder="1" applyAlignment="1" applyProtection="1">
      <alignment horizontal="center"/>
    </xf>
    <xf numFmtId="0" fontId="31" fillId="4" borderId="0" xfId="23" applyFont="1" applyFill="1" applyBorder="1" applyProtection="1"/>
    <xf numFmtId="0" fontId="31" fillId="4" borderId="35" xfId="23" applyFont="1" applyFill="1" applyBorder="1" applyProtection="1"/>
    <xf numFmtId="0" fontId="31" fillId="4" borderId="43" xfId="23" applyFont="1" applyFill="1" applyBorder="1" applyProtection="1"/>
    <xf numFmtId="0" fontId="31" fillId="4" borderId="36" xfId="23" applyFont="1" applyFill="1" applyBorder="1" applyProtection="1"/>
    <xf numFmtId="169" fontId="31" fillId="4" borderId="44" xfId="23" applyNumberFormat="1" applyFont="1" applyFill="1" applyBorder="1" applyAlignment="1" applyProtection="1">
      <alignment horizontal="center"/>
    </xf>
    <xf numFmtId="171" fontId="30" fillId="4" borderId="42" xfId="23" applyNumberFormat="1" applyFont="1" applyFill="1" applyBorder="1" applyAlignment="1" applyProtection="1">
      <alignment horizontal="center"/>
    </xf>
    <xf numFmtId="171" fontId="30" fillId="4" borderId="0" xfId="23" applyNumberFormat="1" applyFont="1" applyFill="1" applyBorder="1" applyAlignment="1" applyProtection="1">
      <alignment horizontal="center"/>
    </xf>
    <xf numFmtId="1" fontId="31" fillId="4" borderId="45" xfId="23" applyNumberFormat="1" applyFont="1" applyFill="1" applyBorder="1" applyAlignment="1" applyProtection="1">
      <alignment horizontal="center" vertical="center"/>
    </xf>
    <xf numFmtId="0" fontId="37" fillId="4" borderId="0" xfId="23" applyFont="1" applyFill="1" applyProtection="1"/>
    <xf numFmtId="0" fontId="37" fillId="0" borderId="0" xfId="23" applyFont="1" applyFill="1" applyProtection="1"/>
    <xf numFmtId="0" fontId="37" fillId="4" borderId="0" xfId="23" applyFont="1" applyFill="1" applyAlignment="1" applyProtection="1">
      <alignment horizontal="right"/>
    </xf>
    <xf numFmtId="1" fontId="29" fillId="4" borderId="0" xfId="23" applyNumberFormat="1" applyFont="1" applyFill="1" applyAlignment="1" applyProtection="1">
      <alignment vertical="top" wrapText="1"/>
    </xf>
    <xf numFmtId="165" fontId="29" fillId="4" borderId="0" xfId="23" applyNumberFormat="1" applyFont="1" applyFill="1" applyProtection="1"/>
    <xf numFmtId="3" fontId="0" fillId="6" borderId="0" xfId="0" applyNumberFormat="1" applyFill="1" applyProtection="1">
      <protection hidden="1"/>
    </xf>
    <xf numFmtId="0" fontId="3" fillId="4" borderId="46" xfId="23" applyFont="1" applyFill="1" applyBorder="1" applyAlignment="1" applyProtection="1">
      <alignment horizontal="center"/>
    </xf>
    <xf numFmtId="0" fontId="0" fillId="4" borderId="46" xfId="0" applyFill="1" applyBorder="1" applyAlignment="1">
      <alignment horizontal="center"/>
    </xf>
    <xf numFmtId="4" fontId="16" fillId="0" borderId="14" xfId="23" applyNumberFormat="1" applyFont="1" applyBorder="1" applyAlignment="1" applyProtection="1">
      <alignment horizontal="center"/>
    </xf>
    <xf numFmtId="4" fontId="16" fillId="0" borderId="18" xfId="23" applyNumberFormat="1" applyFont="1" applyBorder="1" applyAlignment="1" applyProtection="1">
      <alignment horizontal="center"/>
    </xf>
    <xf numFmtId="0" fontId="16" fillId="5" borderId="8" xfId="23" applyFont="1" applyFill="1" applyBorder="1" applyAlignment="1" applyProtection="1">
      <alignment horizontal="center" vertical="center"/>
      <protection locked="0"/>
    </xf>
    <xf numFmtId="0" fontId="16" fillId="5" borderId="20" xfId="23" applyFont="1" applyFill="1" applyBorder="1" applyAlignment="1" applyProtection="1">
      <alignment horizontal="center" vertical="center"/>
      <protection locked="0"/>
    </xf>
    <xf numFmtId="168" fontId="9" fillId="2" borderId="22" xfId="23" applyNumberFormat="1" applyFont="1" applyFill="1" applyBorder="1" applyAlignment="1" applyProtection="1">
      <alignment horizontal="right" vertical="center"/>
    </xf>
    <xf numFmtId="168" fontId="9" fillId="2" borderId="24" xfId="23" applyNumberFormat="1" applyFont="1" applyFill="1" applyBorder="1" applyAlignment="1" applyProtection="1">
      <alignment horizontal="right" vertical="center"/>
    </xf>
    <xf numFmtId="166" fontId="4" fillId="3" borderId="0" xfId="46" applyNumberFormat="1" applyFont="1" applyFill="1" applyAlignment="1" applyProtection="1">
      <alignment horizontal="left"/>
    </xf>
    <xf numFmtId="4" fontId="16" fillId="0" borderId="26" xfId="23" applyNumberFormat="1" applyFont="1" applyBorder="1" applyAlignment="1" applyProtection="1">
      <alignment horizontal="center"/>
    </xf>
    <xf numFmtId="4" fontId="16" fillId="0" borderId="19" xfId="23" applyNumberFormat="1" applyFont="1" applyBorder="1" applyAlignment="1" applyProtection="1">
      <alignment horizontal="center"/>
    </xf>
    <xf numFmtId="0" fontId="9" fillId="2" borderId="22" xfId="23" applyFont="1" applyFill="1" applyBorder="1" applyAlignment="1" applyProtection="1">
      <alignment horizontal="left" vertical="center"/>
    </xf>
    <xf numFmtId="0" fontId="9" fillId="2" borderId="27" xfId="23" applyFont="1" applyFill="1" applyBorder="1" applyAlignment="1" applyProtection="1">
      <alignment horizontal="left" vertical="center"/>
    </xf>
    <xf numFmtId="10" fontId="38" fillId="4" borderId="0" xfId="23" applyNumberFormat="1" applyFont="1" applyFill="1" applyAlignment="1" applyProtection="1">
      <alignment horizontal="center" vertical="center" wrapText="1"/>
    </xf>
    <xf numFmtId="10" fontId="38" fillId="4" borderId="0" xfId="23" applyNumberFormat="1" applyFont="1" applyFill="1" applyBorder="1" applyAlignment="1" applyProtection="1">
      <alignment horizontal="center" vertical="center" wrapText="1"/>
    </xf>
    <xf numFmtId="10" fontId="21" fillId="5" borderId="40" xfId="23" applyNumberFormat="1" applyFont="1" applyFill="1" applyBorder="1" applyAlignment="1" applyProtection="1">
      <alignment horizontal="center" vertical="center"/>
    </xf>
    <xf numFmtId="10" fontId="21" fillId="5" borderId="41" xfId="23" applyNumberFormat="1" applyFont="1" applyFill="1" applyBorder="1" applyAlignment="1" applyProtection="1">
      <alignment horizontal="center" vertical="center"/>
    </xf>
    <xf numFmtId="0" fontId="36" fillId="7" borderId="22" xfId="0" applyFont="1" applyFill="1" applyBorder="1" applyAlignment="1" applyProtection="1">
      <alignment horizontal="center" vertical="center"/>
    </xf>
    <xf numFmtId="0" fontId="36" fillId="7" borderId="23" xfId="0" applyFont="1" applyFill="1" applyBorder="1" applyAlignment="1" applyProtection="1">
      <alignment horizontal="center" vertical="center"/>
    </xf>
    <xf numFmtId="0" fontId="32" fillId="7" borderId="14" xfId="0" applyFont="1" applyFill="1" applyBorder="1" applyAlignment="1" applyProtection="1">
      <alignment horizontal="left"/>
    </xf>
    <xf numFmtId="0" fontId="32" fillId="7" borderId="2" xfId="0" applyFont="1" applyFill="1" applyBorder="1" applyAlignment="1" applyProtection="1">
      <alignment horizontal="left"/>
    </xf>
    <xf numFmtId="0" fontId="32" fillId="2" borderId="14" xfId="0" applyFont="1" applyFill="1" applyBorder="1" applyAlignment="1" applyProtection="1">
      <alignment horizontal="left"/>
    </xf>
    <xf numFmtId="0" fontId="32" fillId="2" borderId="2" xfId="0" applyFont="1" applyFill="1" applyBorder="1" applyAlignment="1" applyProtection="1">
      <alignment horizontal="left"/>
    </xf>
    <xf numFmtId="0" fontId="25" fillId="2" borderId="14" xfId="0" applyFont="1" applyFill="1" applyBorder="1" applyAlignment="1" applyProtection="1">
      <alignment horizontal="center" vertical="center" wrapText="1"/>
    </xf>
    <xf numFmtId="0" fontId="25" fillId="2" borderId="4" xfId="0" applyFont="1" applyFill="1" applyBorder="1" applyAlignment="1" applyProtection="1">
      <alignment horizontal="center" vertical="center" wrapText="1"/>
    </xf>
    <xf numFmtId="0" fontId="7" fillId="0" borderId="13" xfId="0" applyFont="1" applyFill="1" applyBorder="1" applyAlignment="1" applyProtection="1">
      <alignment horizontal="left"/>
    </xf>
    <xf numFmtId="0" fontId="7" fillId="0" borderId="16" xfId="0" applyFont="1" applyFill="1" applyBorder="1" applyAlignment="1" applyProtection="1">
      <alignment horizontal="left"/>
    </xf>
    <xf numFmtId="4" fontId="16" fillId="0" borderId="15" xfId="23" applyNumberFormat="1" applyFont="1" applyBorder="1" applyAlignment="1" applyProtection="1">
      <alignment horizontal="center"/>
    </xf>
    <xf numFmtId="4" fontId="16" fillId="0" borderId="28" xfId="23" applyNumberFormat="1" applyFont="1" applyBorder="1" applyAlignment="1" applyProtection="1">
      <alignment horizontal="center"/>
    </xf>
    <xf numFmtId="0" fontId="13" fillId="5" borderId="22" xfId="0" applyFont="1" applyFill="1" applyBorder="1" applyAlignment="1" applyProtection="1">
      <alignment horizontal="center" vertical="center"/>
    </xf>
    <xf numFmtId="0" fontId="13" fillId="5" borderId="23" xfId="0" applyFont="1" applyFill="1" applyBorder="1" applyAlignment="1" applyProtection="1">
      <alignment horizontal="center" vertical="center"/>
    </xf>
    <xf numFmtId="0" fontId="13" fillId="5" borderId="24" xfId="0" applyFont="1" applyFill="1" applyBorder="1" applyAlignment="1" applyProtection="1">
      <alignment horizontal="center" vertical="center"/>
    </xf>
    <xf numFmtId="165" fontId="16" fillId="5" borderId="22" xfId="23" applyNumberFormat="1" applyFont="1" applyFill="1" applyBorder="1" applyAlignment="1" applyProtection="1">
      <alignment horizontal="center" vertical="center" wrapText="1"/>
    </xf>
    <xf numFmtId="165" fontId="16" fillId="5" borderId="24" xfId="23" applyNumberFormat="1" applyFont="1" applyFill="1" applyBorder="1" applyAlignment="1" applyProtection="1">
      <alignment horizontal="center" vertical="center" wrapText="1"/>
    </xf>
    <xf numFmtId="166" fontId="4" fillId="0" borderId="0" xfId="46" applyNumberFormat="1" applyFont="1" applyFill="1" applyAlignment="1" applyProtection="1">
      <alignment horizontal="left"/>
    </xf>
    <xf numFmtId="0" fontId="13" fillId="0" borderId="22" xfId="0" applyFont="1" applyFill="1" applyBorder="1" applyAlignment="1" applyProtection="1">
      <alignment horizontal="center" vertical="center"/>
    </xf>
    <xf numFmtId="0" fontId="13" fillId="0" borderId="23" xfId="0" applyFont="1" applyFill="1" applyBorder="1" applyAlignment="1" applyProtection="1">
      <alignment horizontal="center" vertical="center"/>
    </xf>
    <xf numFmtId="0" fontId="13" fillId="0" borderId="24" xfId="0" applyFont="1" applyFill="1" applyBorder="1" applyAlignment="1" applyProtection="1">
      <alignment horizontal="center" vertical="center"/>
    </xf>
    <xf numFmtId="165" fontId="16" fillId="0" borderId="22" xfId="23" applyNumberFormat="1" applyFont="1" applyFill="1" applyBorder="1" applyAlignment="1" applyProtection="1">
      <alignment horizontal="center" vertical="center" wrapText="1"/>
    </xf>
    <xf numFmtId="165" fontId="16" fillId="0" borderId="24" xfId="23" applyNumberFormat="1" applyFont="1" applyFill="1" applyBorder="1" applyAlignment="1" applyProtection="1">
      <alignment horizontal="center" vertical="center" wrapText="1"/>
    </xf>
    <xf numFmtId="165" fontId="16" fillId="0" borderId="21" xfId="23" applyNumberFormat="1" applyFont="1" applyFill="1" applyBorder="1" applyAlignment="1" applyProtection="1">
      <alignment horizontal="center" vertical="center" wrapText="1"/>
    </xf>
    <xf numFmtId="165" fontId="16" fillId="0" borderId="17" xfId="23" applyNumberFormat="1" applyFont="1" applyFill="1" applyBorder="1" applyAlignment="1" applyProtection="1">
      <alignment horizontal="center" vertical="center" wrapText="1"/>
    </xf>
    <xf numFmtId="0" fontId="7" fillId="0" borderId="14" xfId="0" applyFont="1" applyFill="1" applyBorder="1" applyAlignment="1" applyProtection="1">
      <alignment horizontal="left"/>
    </xf>
    <xf numFmtId="0" fontId="7" fillId="0" borderId="2" xfId="0" applyFont="1" applyFill="1" applyBorder="1" applyAlignment="1" applyProtection="1">
      <alignment horizontal="left"/>
    </xf>
    <xf numFmtId="0" fontId="7" fillId="0" borderId="4" xfId="0" applyFont="1" applyFill="1" applyBorder="1" applyAlignment="1" applyProtection="1">
      <alignment horizontal="left"/>
    </xf>
    <xf numFmtId="0" fontId="25" fillId="0" borderId="14" xfId="0" applyFont="1" applyFill="1" applyBorder="1" applyAlignment="1" applyProtection="1">
      <alignment horizontal="center" vertical="center" wrapText="1"/>
    </xf>
    <xf numFmtId="0" fontId="25" fillId="0" borderId="4" xfId="0" applyFont="1" applyFill="1" applyBorder="1" applyAlignment="1" applyProtection="1">
      <alignment horizontal="center" vertical="center" wrapText="1"/>
    </xf>
    <xf numFmtId="0" fontId="14" fillId="0" borderId="22" xfId="0" applyFont="1" applyFill="1" applyBorder="1" applyAlignment="1" applyProtection="1">
      <alignment horizontal="left" vertical="center"/>
    </xf>
    <xf numFmtId="0" fontId="14" fillId="0" borderId="23" xfId="0" applyFont="1" applyFill="1" applyBorder="1" applyAlignment="1" applyProtection="1">
      <alignment horizontal="left" vertical="center"/>
    </xf>
    <xf numFmtId="0" fontId="14" fillId="0" borderId="24" xfId="0" applyFont="1" applyFill="1" applyBorder="1" applyAlignment="1" applyProtection="1">
      <alignment horizontal="left" vertical="center"/>
    </xf>
  </cellXfs>
  <cellStyles count="52">
    <cellStyle name="Денежный 2" xfId="50"/>
    <cellStyle name="Обычный" xfId="0" builtinId="0"/>
    <cellStyle name="Обычный 17" xfId="1"/>
    <cellStyle name="Обычный 2" xfId="2"/>
    <cellStyle name="Обычный 2 10" xfId="3"/>
    <cellStyle name="Обычный 2 11" xfId="4"/>
    <cellStyle name="Обычный 2 12" xfId="5"/>
    <cellStyle name="Обычный 2 13" xfId="6"/>
    <cellStyle name="Обычный 2 14" xfId="7"/>
    <cellStyle name="Обычный 2 15" xfId="8"/>
    <cellStyle name="Обычный 2 16" xfId="9"/>
    <cellStyle name="Обычный 2 17" xfId="10"/>
    <cellStyle name="Обычный 2 18" xfId="11"/>
    <cellStyle name="Обычный 2 19" xfId="12"/>
    <cellStyle name="Обычный 2 2" xfId="13"/>
    <cellStyle name="Обычный 2 20" xfId="14"/>
    <cellStyle name="Обычный 2 21" xfId="15"/>
    <cellStyle name="Обычный 2 3" xfId="16"/>
    <cellStyle name="Обычный 2 4" xfId="17"/>
    <cellStyle name="Обычный 2 5" xfId="18"/>
    <cellStyle name="Обычный 2 6" xfId="19"/>
    <cellStyle name="Обычный 2 7" xfId="20"/>
    <cellStyle name="Обычный 2 8" xfId="21"/>
    <cellStyle name="Обычный 2 9" xfId="22"/>
    <cellStyle name="Обычный 3" xfId="51"/>
    <cellStyle name="Обычный_Nedootrumani_dohodu" xfId="23"/>
    <cellStyle name="Процентный" xfId="24" builtinId="5"/>
    <cellStyle name="Процентный 2" xfId="25"/>
    <cellStyle name="Процентный 2 10" xfId="26"/>
    <cellStyle name="Процентный 2 11" xfId="27"/>
    <cellStyle name="Процентный 2 12" xfId="28"/>
    <cellStyle name="Процентный 2 13" xfId="29"/>
    <cellStyle name="Процентный 2 14" xfId="30"/>
    <cellStyle name="Процентный 2 15" xfId="31"/>
    <cellStyle name="Процентный 2 16" xfId="32"/>
    <cellStyle name="Процентный 2 17" xfId="33"/>
    <cellStyle name="Процентный 2 18" xfId="34"/>
    <cellStyle name="Процентный 2 19" xfId="35"/>
    <cellStyle name="Процентный 2 2" xfId="36"/>
    <cellStyle name="Процентный 2 20" xfId="37"/>
    <cellStyle name="Процентный 2 21" xfId="38"/>
    <cellStyle name="Процентный 2 3" xfId="39"/>
    <cellStyle name="Процентный 2 4" xfId="40"/>
    <cellStyle name="Процентный 2 5" xfId="41"/>
    <cellStyle name="Процентный 2 6" xfId="42"/>
    <cellStyle name="Процентный 2 7" xfId="43"/>
    <cellStyle name="Процентный 2 8" xfId="44"/>
    <cellStyle name="Процентный 2 9" xfId="45"/>
    <cellStyle name="Процентный 3" xfId="46"/>
    <cellStyle name="Процентный 3 2" xfId="49"/>
    <cellStyle name="Финансовый" xfId="47" builtinId="3"/>
    <cellStyle name="Финансовый 2" xfId="4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1.pn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4</xdr:col>
      <xdr:colOff>110218</xdr:colOff>
      <xdr:row>2</xdr:row>
      <xdr:rowOff>38100</xdr:rowOff>
    </xdr:to>
    <xdr:pic>
      <xdr:nvPicPr>
        <xdr:cNvPr id="4384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1450" y="190500"/>
          <a:ext cx="20574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4</xdr:col>
      <xdr:colOff>176893</xdr:colOff>
      <xdr:row>2</xdr:row>
      <xdr:rowOff>57150</xdr:rowOff>
    </xdr:to>
    <xdr:pic>
      <xdr:nvPicPr>
        <xdr:cNvPr id="4385" name="Picture 1" descr="IdeaBank">
          <a:hlinkClick xmlns:r="http://schemas.openxmlformats.org/officeDocument/2006/relationships" r:id="rId3" tooltip="IdeaB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180975"/>
          <a:ext cx="215265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Krupska/AppData/Local/Microsoft/Windows/INetCache/Content.Outlook/G6CMFYHA/&#1050;&#1072;&#1083;&#1100;&#1082;&#1091;&#1083;&#1103;&#1090;&#1086;&#1088;%20_&#1052;&#1110;&#1082;&#1088;&#1086;&#1082;&#1088;&#1077;&#1076;&#1080;&#1090;%20&#1076;&#1083;&#1103;%20&#1060;&#1054;&#105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ікрокредит для ФОП  "/>
      <sheetName val="Лист2"/>
      <sheetName val="Назви"/>
    </sheetNames>
    <sheetDataSet>
      <sheetData sheetId="0" refreshError="1"/>
      <sheetData sheetId="1" refreshError="1"/>
      <sheetData sheetId="2" refreshError="1">
        <row r="3">
          <cell r="B3">
            <v>0</v>
          </cell>
          <cell r="C3">
            <v>0</v>
          </cell>
          <cell r="D3">
            <v>0</v>
          </cell>
        </row>
        <row r="5">
          <cell r="B5">
            <v>0</v>
          </cell>
          <cell r="C5">
            <v>0</v>
          </cell>
          <cell r="D5">
            <v>0</v>
          </cell>
        </row>
        <row r="7">
          <cell r="B7">
            <v>0</v>
          </cell>
          <cell r="C7">
            <v>0</v>
          </cell>
          <cell r="D7">
            <v>0</v>
          </cell>
        </row>
        <row r="9">
          <cell r="A9" t="str">
            <v>Термін кредитування (міс)</v>
          </cell>
          <cell r="B9">
            <v>0</v>
          </cell>
          <cell r="C9">
            <v>0</v>
          </cell>
          <cell r="D9">
            <v>0</v>
          </cell>
        </row>
        <row r="12">
          <cell r="B12">
            <v>0</v>
          </cell>
          <cell r="C12">
            <v>0</v>
          </cell>
          <cell r="D12">
            <v>0</v>
          </cell>
        </row>
        <row r="14">
          <cell r="B14">
            <v>0</v>
          </cell>
          <cell r="C14">
            <v>0</v>
          </cell>
          <cell r="D14">
            <v>0</v>
          </cell>
        </row>
        <row r="16">
          <cell r="B16">
            <v>0</v>
          </cell>
          <cell r="C16">
            <v>0</v>
          </cell>
          <cell r="D1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AS104"/>
  <sheetViews>
    <sheetView tabSelected="1" view="pageBreakPreview" zoomScale="120" zoomScaleNormal="70" zoomScaleSheetLayoutView="120" workbookViewId="0">
      <pane ySplit="4" topLeftCell="A5" activePane="bottomLeft" state="frozen"/>
      <selection activeCell="F4" sqref="F4"/>
      <selection pane="bottomLeft" activeCell="F5" sqref="F5"/>
    </sheetView>
  </sheetViews>
  <sheetFormatPr defaultColWidth="9.109375" defaultRowHeight="13.2" outlineLevelRow="1" outlineLevelCol="1" x14ac:dyDescent="0.25"/>
  <cols>
    <col min="1" max="1" width="2.44140625" style="11" customWidth="1"/>
    <col min="2" max="2" width="9" style="4" customWidth="1"/>
    <col min="3" max="3" width="18.77734375" style="4" hidden="1" customWidth="1"/>
    <col min="4" max="4" width="20.33203125" style="4" customWidth="1"/>
    <col min="5" max="5" width="23.5546875" style="4" customWidth="1"/>
    <col min="6" max="6" width="16.33203125" style="4" customWidth="1"/>
    <col min="7" max="7" width="15" style="49" bestFit="1" customWidth="1"/>
    <col min="8" max="8" width="11.33203125" style="43" bestFit="1" customWidth="1"/>
    <col min="9" max="9" width="27.88671875" style="37" customWidth="1"/>
    <col min="10" max="10" width="7.44140625" style="3" customWidth="1"/>
    <col min="11" max="11" width="12.5546875" style="4" hidden="1" customWidth="1" outlineLevel="1"/>
    <col min="12" max="12" width="9.44140625" style="4" hidden="1" customWidth="1" outlineLevel="1"/>
    <col min="13" max="13" width="16.44140625" style="4" hidden="1" customWidth="1" outlineLevel="1"/>
    <col min="14" max="16" width="14.88671875" style="4" hidden="1" customWidth="1" outlineLevel="1"/>
    <col min="17" max="25" width="13.5546875" style="4" hidden="1" customWidth="1" outlineLevel="1"/>
    <col min="26" max="26" width="7.44140625" style="4" hidden="1" customWidth="1" outlineLevel="1"/>
    <col min="27" max="28" width="9.109375" style="4" hidden="1" customWidth="1" outlineLevel="1"/>
    <col min="29" max="29" width="9.109375" style="119" collapsed="1"/>
    <col min="30" max="45" width="9.109375" style="119"/>
    <col min="46" max="16384" width="9.109375" style="4"/>
  </cols>
  <sheetData>
    <row r="1" spans="1:45" ht="13.8" thickBot="1" x14ac:dyDescent="0.3">
      <c r="H1" s="198" t="s">
        <v>58</v>
      </c>
      <c r="I1" s="199"/>
    </row>
    <row r="2" spans="1:45" s="41" customFormat="1" ht="25.2" customHeight="1" x14ac:dyDescent="0.25">
      <c r="A2" s="25"/>
      <c r="B2" s="156"/>
      <c r="C2" s="156"/>
      <c r="D2" s="156"/>
      <c r="E2" s="192">
        <f>VLOOKUP('Мікрокредит для ФОП'!H2,Лист2!A:N,14,FALSE)</f>
        <v>9259</v>
      </c>
      <c r="F2" s="193">
        <f>VLOOKUP(H$2,Лист2!$A:$G,2,0)</f>
        <v>462963</v>
      </c>
      <c r="G2" s="42"/>
      <c r="H2" s="202" t="s">
        <v>70</v>
      </c>
      <c r="I2" s="203"/>
      <c r="J2" s="5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120"/>
      <c r="AN2" s="120"/>
      <c r="AO2" s="120"/>
      <c r="AP2" s="120"/>
      <c r="AQ2" s="120"/>
      <c r="AR2" s="120"/>
      <c r="AS2" s="120"/>
    </row>
    <row r="3" spans="1:45" s="41" customFormat="1" ht="13.5" customHeight="1" x14ac:dyDescent="0.25">
      <c r="A3" s="25"/>
      <c r="B3" s="156"/>
      <c r="C3" s="156"/>
      <c r="D3" s="156"/>
      <c r="E3" s="194">
        <f>IF(F5&lt;E2,"x",IF(F5&gt;F2,"y",F5))</f>
        <v>462963</v>
      </c>
      <c r="F3" s="211" t="str">
        <f>IF(E3="x","Збільшіть суму",IF(E3="y","Зменшіть суму",""))</f>
        <v/>
      </c>
      <c r="G3" s="76">
        <f>Назви!B31</f>
        <v>30.4</v>
      </c>
      <c r="H3" s="213" t="str">
        <f>VLOOKUP(H$2,Лист2!$A:$G,7,0)</f>
        <v>max. 500000 грн.</v>
      </c>
      <c r="I3" s="214"/>
      <c r="J3" s="50"/>
      <c r="K3" s="41">
        <f>VLOOKUP(H2,Лист2!A:J,10,0)</f>
        <v>3</v>
      </c>
      <c r="M3" s="71" t="e">
        <f t="array" ref="M3:V3">IF($K3=1,TRANSPOSE(Лист2!#REF!),IF($K3=2,TRANSPOSE(Лист2!#REF!),TRANSPOSE(Лист2!#REF!)))</f>
        <v>#REF!</v>
      </c>
      <c r="N3" s="71" t="e">
        <v>#REF!</v>
      </c>
      <c r="O3" s="71" t="e">
        <v>#REF!</v>
      </c>
      <c r="P3" s="71" t="e">
        <v>#REF!</v>
      </c>
      <c r="Q3" s="71" t="e">
        <v>#REF!</v>
      </c>
      <c r="R3" s="71" t="e">
        <v>#REF!</v>
      </c>
      <c r="S3" s="71" t="e">
        <v>#REF!</v>
      </c>
      <c r="T3" s="71" t="e">
        <v>#REF!</v>
      </c>
      <c r="U3" s="71" t="e">
        <v>#REF!</v>
      </c>
      <c r="V3" s="71" t="e">
        <v>#REF!</v>
      </c>
      <c r="W3" s="71"/>
      <c r="X3" s="71"/>
      <c r="Y3" s="71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20"/>
      <c r="AR3" s="120"/>
      <c r="AS3" s="120"/>
    </row>
    <row r="4" spans="1:45" s="41" customFormat="1" ht="10.5" customHeight="1" thickBot="1" x14ac:dyDescent="0.3">
      <c r="A4" s="25"/>
      <c r="B4" s="157"/>
      <c r="C4" s="157"/>
      <c r="D4" s="157"/>
      <c r="E4" s="192"/>
      <c r="F4" s="212"/>
      <c r="G4" s="180">
        <f ca="1">TODAY()</f>
        <v>45355</v>
      </c>
      <c r="H4" s="181"/>
      <c r="I4" s="182"/>
      <c r="J4" s="50"/>
      <c r="P4" s="8"/>
      <c r="Q4" s="8"/>
      <c r="U4" s="8"/>
      <c r="V4" s="8"/>
      <c r="W4" s="8"/>
      <c r="X4" s="8"/>
      <c r="Y4" s="8"/>
      <c r="AA4" s="68"/>
      <c r="AC4" s="120"/>
      <c r="AD4" s="120"/>
      <c r="AE4" s="120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</row>
    <row r="5" spans="1:45" ht="21.6" thickBot="1" x14ac:dyDescent="0.3">
      <c r="A5" s="6" t="s">
        <v>59</v>
      </c>
      <c r="B5" s="215" t="s">
        <v>60</v>
      </c>
      <c r="C5" s="216"/>
      <c r="D5" s="216"/>
      <c r="E5" s="216"/>
      <c r="F5" s="158">
        <v>462963</v>
      </c>
      <c r="G5" s="191" t="str">
        <f>Назви!F1</f>
        <v>В місяць</v>
      </c>
      <c r="H5" s="145" t="str">
        <f>Назви!G1</f>
        <v>В день</v>
      </c>
      <c r="I5" s="3"/>
      <c r="J5" s="51"/>
      <c r="K5" s="54"/>
      <c r="L5" s="54"/>
      <c r="M5" s="72" t="e">
        <f>IF($F5&lt;=VLOOKUP(M$3,Лист2!$A:$F,2,0),$F5,0)</f>
        <v>#REF!</v>
      </c>
      <c r="N5" s="72" t="e">
        <f>IF($F5&lt;=VLOOKUP(N$3,Лист2!$A:$F,2,0),$F5,0)</f>
        <v>#REF!</v>
      </c>
      <c r="O5" s="72" t="e">
        <f>IF($F5&lt;=VLOOKUP(O$3,Лист2!$A:$F,2,0),$F5,0)</f>
        <v>#REF!</v>
      </c>
      <c r="P5" s="72" t="e">
        <f>IF($F5&lt;=VLOOKUP(P$3,Лист2!$A:$F,2,0),$F5,0)</f>
        <v>#REF!</v>
      </c>
      <c r="Q5" s="72" t="e">
        <f>IF($F5&lt;=VLOOKUP(Q$3,Лист2!$A:$F,2,0),$F5,0)</f>
        <v>#REF!</v>
      </c>
      <c r="R5" s="72" t="e">
        <f>IF($F5&lt;=VLOOKUP(R$3,Лист2!$A:$F,2,0),$F5,0)</f>
        <v>#REF!</v>
      </c>
      <c r="S5" s="72" t="e">
        <f>IF($F5&lt;=VLOOKUP(S$3,Лист2!$A:$F,2,0),$F5,0)</f>
        <v>#REF!</v>
      </c>
      <c r="T5" s="72" t="e">
        <f>IF($F5&lt;=VLOOKUP(T$3,Лист2!$A:$F,2,0),$F5,0)</f>
        <v>#REF!</v>
      </c>
      <c r="U5" s="72" t="e">
        <f>IF($F5&lt;=VLOOKUP(U$3,Лист2!$A:$F,2,0),$F5,0)</f>
        <v>#REF!</v>
      </c>
      <c r="V5" s="72" t="e">
        <f>IF($F5&lt;=VLOOKUP(V$3,Лист2!$A:$F,2,0),$F5,0)</f>
        <v>#REF!</v>
      </c>
      <c r="W5" s="72"/>
      <c r="X5" s="72"/>
      <c r="Y5" s="72"/>
      <c r="AA5" s="68"/>
    </row>
    <row r="6" spans="1:45" s="5" customFormat="1" ht="7.5" customHeight="1" x14ac:dyDescent="0.25">
      <c r="A6" s="6"/>
      <c r="B6" s="126"/>
      <c r="C6" s="157"/>
      <c r="D6" s="126"/>
      <c r="E6" s="157"/>
      <c r="F6" s="159"/>
      <c r="G6" s="185"/>
      <c r="H6" s="150"/>
      <c r="I6" s="2"/>
      <c r="J6" s="52"/>
      <c r="K6" s="55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AA6" s="68"/>
      <c r="AC6" s="119"/>
      <c r="AD6" s="119"/>
      <c r="AE6" s="119"/>
      <c r="AF6" s="119"/>
      <c r="AG6" s="119"/>
      <c r="AH6" s="119"/>
      <c r="AI6" s="119"/>
      <c r="AJ6" s="119"/>
      <c r="AK6" s="119"/>
      <c r="AL6" s="119"/>
      <c r="AM6" s="119"/>
      <c r="AN6" s="119"/>
      <c r="AO6" s="119"/>
      <c r="AP6" s="119"/>
      <c r="AQ6" s="119"/>
      <c r="AR6" s="119"/>
      <c r="AS6" s="119"/>
    </row>
    <row r="7" spans="1:45" s="5" customFormat="1" ht="7.5" customHeight="1" x14ac:dyDescent="0.25">
      <c r="A7" s="6"/>
      <c r="B7" s="126"/>
      <c r="C7" s="157"/>
      <c r="D7" s="126"/>
      <c r="E7" s="157"/>
      <c r="F7" s="159"/>
      <c r="G7" s="185"/>
      <c r="H7" s="150"/>
      <c r="I7" s="2"/>
      <c r="J7" s="52"/>
      <c r="K7" s="55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AA7" s="68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Q7" s="119"/>
      <c r="AR7" s="119"/>
      <c r="AS7" s="119"/>
    </row>
    <row r="8" spans="1:45" s="5" customFormat="1" ht="22.2" customHeight="1" x14ac:dyDescent="0.25">
      <c r="A8" s="6"/>
      <c r="B8" s="217" t="s">
        <v>77</v>
      </c>
      <c r="C8" s="218" t="e">
        <f>[1]Назви!B1</f>
        <v>#REF!</v>
      </c>
      <c r="D8" s="218" t="e">
        <f>[1]Назви!C1</f>
        <v>#REF!</v>
      </c>
      <c r="E8" s="218" t="e">
        <f>[1]Назви!D1</f>
        <v>#REF!</v>
      </c>
      <c r="F8" s="163">
        <f>F5+F5*F12</f>
        <v>500000.04</v>
      </c>
      <c r="G8" s="185"/>
      <c r="H8" s="150"/>
      <c r="I8" s="2"/>
      <c r="J8" s="52"/>
      <c r="K8" s="55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AA8" s="68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19"/>
      <c r="AN8" s="119"/>
      <c r="AO8" s="119"/>
      <c r="AP8" s="119"/>
      <c r="AQ8" s="119"/>
      <c r="AR8" s="119"/>
      <c r="AS8" s="119"/>
    </row>
    <row r="9" spans="1:45" s="5" customFormat="1" ht="7.5" customHeight="1" x14ac:dyDescent="0.25">
      <c r="A9" s="6"/>
      <c r="B9" s="126"/>
      <c r="C9" s="157"/>
      <c r="D9" s="126"/>
      <c r="E9" s="157"/>
      <c r="F9" s="159"/>
      <c r="G9" s="185"/>
      <c r="H9" s="150"/>
      <c r="I9" s="2"/>
      <c r="J9" s="52"/>
      <c r="K9" s="55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AA9" s="68"/>
      <c r="AC9" s="119"/>
      <c r="AD9" s="119"/>
      <c r="AE9" s="119"/>
      <c r="AF9" s="119"/>
      <c r="AG9" s="119"/>
      <c r="AH9" s="119"/>
      <c r="AI9" s="119"/>
      <c r="AJ9" s="119"/>
      <c r="AK9" s="119"/>
      <c r="AL9" s="119"/>
      <c r="AM9" s="119"/>
      <c r="AN9" s="119"/>
      <c r="AO9" s="119"/>
      <c r="AP9" s="119"/>
      <c r="AQ9" s="119"/>
      <c r="AR9" s="119"/>
      <c r="AS9" s="119"/>
    </row>
    <row r="10" spans="1:45" ht="18" customHeight="1" x14ac:dyDescent="0.25">
      <c r="A10" s="6"/>
      <c r="B10" s="217" t="s">
        <v>51</v>
      </c>
      <c r="C10" s="218">
        <f>[1]Назви!B3</f>
        <v>0</v>
      </c>
      <c r="D10" s="218">
        <f>[1]Назви!C3</f>
        <v>0</v>
      </c>
      <c r="E10" s="218">
        <f>[1]Назви!D3</f>
        <v>0</v>
      </c>
      <c r="F10" s="160">
        <f>VLOOKUP(H$2,Лист2!$A:$G,4,0)</f>
        <v>0.61699999999999999</v>
      </c>
      <c r="G10" s="183">
        <f>F10/12</f>
        <v>5.1416666666666666E-2</v>
      </c>
      <c r="H10" s="146"/>
      <c r="I10" s="3"/>
      <c r="J10" s="51"/>
      <c r="K10" s="54" t="s">
        <v>13</v>
      </c>
      <c r="L10" s="66"/>
      <c r="M10" s="67">
        <f>VLOOKUP(H$2,Лист2!$A:$F,4,0)</f>
        <v>0.61699999999999999</v>
      </c>
      <c r="N10" s="67" t="e">
        <f>VLOOKUP(N$3,Лист2!$A:$F,4,0)</f>
        <v>#REF!</v>
      </c>
      <c r="O10" s="67" t="e">
        <f>VLOOKUP(O$3,Лист2!$A:$F,4,0)</f>
        <v>#REF!</v>
      </c>
      <c r="P10" s="67" t="e">
        <f>VLOOKUP(P$3,Лист2!$A:$F,4,0)</f>
        <v>#REF!</v>
      </c>
      <c r="Q10" s="67" t="e">
        <f>VLOOKUP(Q$3,Лист2!$A:$F,4,0)</f>
        <v>#REF!</v>
      </c>
      <c r="R10" s="67" t="e">
        <f>VLOOKUP(R$3,Лист2!$A:$F,4,0)</f>
        <v>#REF!</v>
      </c>
      <c r="S10" s="67" t="e">
        <f>VLOOKUP(S$3,Лист2!$A:$F,4,0)</f>
        <v>#REF!</v>
      </c>
      <c r="T10" s="67" t="e">
        <f>VLOOKUP(T$3,Лист2!$A:$F,4,0)</f>
        <v>#REF!</v>
      </c>
      <c r="U10" s="67" t="e">
        <f>VLOOKUP(U$3,Лист2!$A:$F,4,0)</f>
        <v>#REF!</v>
      </c>
      <c r="V10" s="67" t="e">
        <f>VLOOKUP(V$3,Лист2!$A:$F,4,0)</f>
        <v>#REF!</v>
      </c>
      <c r="W10" s="67"/>
      <c r="X10" s="67"/>
      <c r="Y10" s="67"/>
      <c r="AA10" s="68"/>
    </row>
    <row r="11" spans="1:45" s="5" customFormat="1" ht="13.8" customHeight="1" x14ac:dyDescent="0.25">
      <c r="A11" s="6"/>
      <c r="B11" s="126"/>
      <c r="C11" s="157"/>
      <c r="D11" s="126"/>
      <c r="E11" s="157"/>
      <c r="F11" s="171">
        <v>1.0000000000000001E-5</v>
      </c>
      <c r="G11" s="184"/>
      <c r="H11" s="147"/>
      <c r="I11" s="2"/>
      <c r="J11" s="52"/>
      <c r="K11" s="55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AA11" s="68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</row>
    <row r="12" spans="1:45" ht="19.8" customHeight="1" x14ac:dyDescent="0.25">
      <c r="A12" s="6"/>
      <c r="B12" s="217" t="s">
        <v>52</v>
      </c>
      <c r="C12" s="218">
        <f>[1]Назви!B5</f>
        <v>0</v>
      </c>
      <c r="D12" s="218">
        <f>[1]Назви!C5</f>
        <v>0</v>
      </c>
      <c r="E12" s="218">
        <f>[1]Назви!D5</f>
        <v>0</v>
      </c>
      <c r="F12" s="160">
        <f>VLOOKUP(H$2,Лист2!$A:$G,5,0)</f>
        <v>0.08</v>
      </c>
      <c r="G12" s="183"/>
      <c r="H12" s="152"/>
      <c r="I12" s="3"/>
      <c r="J12" s="51"/>
      <c r="K12" s="55" t="s">
        <v>15</v>
      </c>
      <c r="L12" s="66"/>
      <c r="M12" s="67">
        <f>VLOOKUP(H$2,Лист2!$A:$F,5,0)</f>
        <v>0.08</v>
      </c>
      <c r="N12" s="67" t="e">
        <f>VLOOKUP(N$3,Лист2!$A:$F,5,0)</f>
        <v>#REF!</v>
      </c>
      <c r="O12" s="67" t="e">
        <f>VLOOKUP(O$3,Лист2!$A:$F,5,0)</f>
        <v>#REF!</v>
      </c>
      <c r="P12" s="67" t="e">
        <f>VLOOKUP(P$3,Лист2!$A:$F,5,0)</f>
        <v>#REF!</v>
      </c>
      <c r="Q12" s="67" t="e">
        <f>VLOOKUP(Q$3,Лист2!$A:$F,5,0)</f>
        <v>#REF!</v>
      </c>
      <c r="R12" s="67" t="e">
        <f>VLOOKUP(R$3,Лист2!$A:$F,5,0)</f>
        <v>#REF!</v>
      </c>
      <c r="S12" s="67" t="e">
        <f>VLOOKUP(S$3,Лист2!$A:$F,5,0)</f>
        <v>#REF!</v>
      </c>
      <c r="T12" s="67" t="e">
        <f>VLOOKUP(T$3,Лист2!$A:$F,5,0)</f>
        <v>#REF!</v>
      </c>
      <c r="U12" s="67" t="e">
        <f>VLOOKUP(U$3,Лист2!$A:$F,5,0)</f>
        <v>#REF!</v>
      </c>
      <c r="V12" s="67" t="e">
        <f>VLOOKUP(V$3,Лист2!$A:$F,5,0)</f>
        <v>#REF!</v>
      </c>
      <c r="W12" s="67"/>
      <c r="X12" s="67"/>
      <c r="Y12" s="67"/>
      <c r="AA12" s="68"/>
    </row>
    <row r="13" spans="1:45" s="5" customFormat="1" ht="6.6" customHeight="1" x14ac:dyDescent="0.25">
      <c r="A13" s="6"/>
      <c r="B13" s="126"/>
      <c r="C13" s="157"/>
      <c r="D13" s="126"/>
      <c r="E13" s="157"/>
      <c r="F13" s="162"/>
      <c r="G13" s="185"/>
      <c r="H13" s="151"/>
      <c r="I13" s="2"/>
      <c r="J13" s="52"/>
      <c r="K13" s="55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AA13" s="68" t="e">
        <f>Лист2!#REF!</f>
        <v>#REF!</v>
      </c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</row>
    <row r="14" spans="1:45" ht="22.2" customHeight="1" x14ac:dyDescent="0.25">
      <c r="A14" s="6"/>
      <c r="B14" s="217" t="s">
        <v>53</v>
      </c>
      <c r="C14" s="218">
        <f>[1]Назви!B7</f>
        <v>0</v>
      </c>
      <c r="D14" s="218">
        <f>[1]Назви!C7</f>
        <v>0</v>
      </c>
      <c r="E14" s="218">
        <f>[1]Назви!D7</f>
        <v>0</v>
      </c>
      <c r="F14" s="160">
        <f>VLOOKUP(H$2,Лист2!$A:$G,6,0)</f>
        <v>0</v>
      </c>
      <c r="G14" s="183"/>
      <c r="H14" s="152"/>
      <c r="I14" s="3"/>
      <c r="J14" s="51"/>
      <c r="K14" s="54" t="s">
        <v>14</v>
      </c>
      <c r="L14" s="66"/>
      <c r="M14" s="67">
        <f>VLOOKUP(H$2,Лист2!$A:$F,6,0)</f>
        <v>0</v>
      </c>
      <c r="N14" s="67" t="e">
        <f>VLOOKUP(N$3,Лист2!$A:$F,6,0)</f>
        <v>#REF!</v>
      </c>
      <c r="O14" s="67" t="e">
        <f>VLOOKUP(O$3,Лист2!$A:$F,6,0)</f>
        <v>#REF!</v>
      </c>
      <c r="P14" s="67" t="e">
        <f>VLOOKUP(P$3,Лист2!$A:$F,6,0)</f>
        <v>#REF!</v>
      </c>
      <c r="Q14" s="67" t="e">
        <f>VLOOKUP(Q$3,Лист2!$A:$F,6,0)</f>
        <v>#REF!</v>
      </c>
      <c r="R14" s="67" t="e">
        <f>VLOOKUP(R$3,Лист2!$A:$F,6,0)</f>
        <v>#REF!</v>
      </c>
      <c r="S14" s="67" t="e">
        <f>VLOOKUP(S$3,Лист2!$A:$F,6,0)</f>
        <v>#REF!</v>
      </c>
      <c r="T14" s="67" t="e">
        <f>VLOOKUP(T$3,Лист2!$A:$F,6,0)</f>
        <v>#REF!</v>
      </c>
      <c r="U14" s="67" t="e">
        <f>VLOOKUP(U$3,Лист2!$A:$F,6,0)</f>
        <v>#REF!</v>
      </c>
      <c r="V14" s="67" t="e">
        <f>VLOOKUP(V$3,Лист2!$A:$F,6,0)</f>
        <v>#REF!</v>
      </c>
      <c r="W14" s="67"/>
      <c r="X14" s="67"/>
      <c r="Y14" s="67"/>
      <c r="AA14" s="68" t="e">
        <f>Лист2!#REF!</f>
        <v>#REF!</v>
      </c>
    </row>
    <row r="15" spans="1:45" s="5" customFormat="1" ht="6.6" customHeight="1" x14ac:dyDescent="0.25">
      <c r="A15" s="6"/>
      <c r="B15" s="126"/>
      <c r="C15" s="157"/>
      <c r="D15" s="126"/>
      <c r="E15" s="157"/>
      <c r="F15" s="161"/>
      <c r="G15" s="185"/>
      <c r="H15" s="151"/>
      <c r="I15" s="2"/>
      <c r="J15" s="52"/>
      <c r="K15" s="55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AA15" s="68" t="e">
        <f>Лист2!#REF!</f>
        <v>#REF!</v>
      </c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</row>
    <row r="16" spans="1:45" ht="19.2" customHeight="1" x14ac:dyDescent="0.25">
      <c r="A16" s="6"/>
      <c r="B16" s="217" t="str">
        <f>[1]Назви!A9</f>
        <v>Термін кредитування (міс)</v>
      </c>
      <c r="C16" s="218">
        <f>[1]Назви!B9</f>
        <v>0</v>
      </c>
      <c r="D16" s="218">
        <f>[1]Назви!C9</f>
        <v>0</v>
      </c>
      <c r="E16" s="218">
        <f>[1]Назви!D9</f>
        <v>0</v>
      </c>
      <c r="F16" s="163">
        <f>VLOOKUP(H$2,Лист2!$A:$G,3,0)</f>
        <v>24</v>
      </c>
      <c r="G16" s="183"/>
      <c r="H16" s="148"/>
      <c r="I16" s="3"/>
      <c r="J16" s="51"/>
      <c r="K16" s="55" t="s">
        <v>31</v>
      </c>
      <c r="L16" s="65"/>
      <c r="M16" s="73" t="e">
        <f>VLOOKUP(M$3,Лист2!$A:$F,3,0)</f>
        <v>#REF!</v>
      </c>
      <c r="N16" s="73" t="e">
        <f>VLOOKUP(N$3,Лист2!$A:$F,3,0)</f>
        <v>#REF!</v>
      </c>
      <c r="O16" s="73" t="e">
        <f>VLOOKUP(O$3,Лист2!$A:$F,3,0)</f>
        <v>#REF!</v>
      </c>
      <c r="P16" s="73" t="e">
        <f>VLOOKUP(P$3,Лист2!$A:$F,3,0)</f>
        <v>#REF!</v>
      </c>
      <c r="Q16" s="73" t="e">
        <f>VLOOKUP(Q$3,Лист2!$A:$F,3,0)</f>
        <v>#REF!</v>
      </c>
      <c r="R16" s="73" t="e">
        <f>VLOOKUP(R$3,Лист2!$A:$F,3,0)</f>
        <v>#REF!</v>
      </c>
      <c r="S16" s="73" t="e">
        <f>VLOOKUP(S$3,Лист2!$A:$F,3,0)</f>
        <v>#REF!</v>
      </c>
      <c r="T16" s="73" t="e">
        <f>VLOOKUP(T$3,Лист2!$A:$F,3,0)</f>
        <v>#REF!</v>
      </c>
      <c r="U16" s="73" t="e">
        <f>VLOOKUP(U$3,Лист2!$A:$F,3,0)</f>
        <v>#REF!</v>
      </c>
      <c r="V16" s="73" t="e">
        <f>VLOOKUP(V$3,Лист2!$A:$F,3,0)</f>
        <v>#REF!</v>
      </c>
      <c r="W16" s="73"/>
      <c r="X16" s="73"/>
      <c r="Y16" s="73"/>
      <c r="AA16" s="68" t="e">
        <f>Лист2!#REF!</f>
        <v>#REF!</v>
      </c>
    </row>
    <row r="17" spans="1:45" s="11" customFormat="1" ht="11.25" customHeight="1" x14ac:dyDescent="0.25">
      <c r="A17" s="6"/>
      <c r="B17" s="126"/>
      <c r="C17" s="157"/>
      <c r="D17" s="126"/>
      <c r="E17" s="195">
        <f>F5*F12+1</f>
        <v>37038.04</v>
      </c>
      <c r="F17" s="164"/>
      <c r="G17" s="186"/>
      <c r="H17" s="153"/>
      <c r="I17" s="1"/>
      <c r="J17" s="52"/>
      <c r="K17" s="54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AA17" s="68" t="e">
        <f>Лист2!#REF!</f>
        <v>#REF!</v>
      </c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</row>
    <row r="18" spans="1:45" s="11" customFormat="1" ht="11.25" customHeight="1" x14ac:dyDescent="0.25">
      <c r="A18" s="6"/>
      <c r="B18" s="126"/>
      <c r="C18" s="157"/>
      <c r="D18" s="126"/>
      <c r="E18" s="196">
        <f>E17+E3</f>
        <v>500001.04</v>
      </c>
      <c r="F18" s="164"/>
      <c r="G18" s="187"/>
      <c r="H18" s="150"/>
      <c r="I18" s="1"/>
      <c r="J18" s="122"/>
      <c r="K18" s="54" t="s">
        <v>36</v>
      </c>
      <c r="L18" s="57"/>
      <c r="M18" s="57" t="e">
        <f t="shared" ref="M18:V18" si="0">M5*(1+M12)+1+1</f>
        <v>#REF!</v>
      </c>
      <c r="N18" s="57" t="e">
        <f t="shared" si="0"/>
        <v>#REF!</v>
      </c>
      <c r="O18" s="57" t="e">
        <f t="shared" si="0"/>
        <v>#REF!</v>
      </c>
      <c r="P18" s="57" t="e">
        <f t="shared" si="0"/>
        <v>#REF!</v>
      </c>
      <c r="Q18" s="57" t="e">
        <f t="shared" si="0"/>
        <v>#REF!</v>
      </c>
      <c r="R18" s="57" t="e">
        <f t="shared" si="0"/>
        <v>#REF!</v>
      </c>
      <c r="S18" s="57" t="e">
        <f t="shared" si="0"/>
        <v>#REF!</v>
      </c>
      <c r="T18" s="57" t="e">
        <f t="shared" si="0"/>
        <v>#REF!</v>
      </c>
      <c r="U18" s="57" t="e">
        <f t="shared" si="0"/>
        <v>#REF!</v>
      </c>
      <c r="V18" s="57" t="e">
        <f t="shared" si="0"/>
        <v>#REF!</v>
      </c>
      <c r="W18" s="57"/>
      <c r="X18" s="57"/>
      <c r="Y18" s="57"/>
      <c r="AA18" s="68" t="e">
        <f>Лист2!#REF!</f>
        <v>#REF!</v>
      </c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21"/>
      <c r="AS18" s="121"/>
    </row>
    <row r="19" spans="1:45" s="11" customFormat="1" x14ac:dyDescent="0.25">
      <c r="A19" s="6"/>
      <c r="B19" s="219" t="s">
        <v>54</v>
      </c>
      <c r="C19" s="220">
        <f>[1]Назви!B12</f>
        <v>0</v>
      </c>
      <c r="D19" s="220">
        <f>[1]Назви!C12</f>
        <v>0</v>
      </c>
      <c r="E19" s="220">
        <f>[1]Назви!D12</f>
        <v>0</v>
      </c>
      <c r="F19" s="165">
        <f>$G$19</f>
        <v>36736.499781964689</v>
      </c>
      <c r="G19" s="188">
        <f>PMT(F10/12,F16,-E18)+F14*E18</f>
        <v>36736.499781964689</v>
      </c>
      <c r="H19" s="149">
        <f>G19/G3</f>
        <v>1208.4374928277859</v>
      </c>
      <c r="I19" s="129"/>
      <c r="J19" s="52"/>
      <c r="K19" s="55" t="s">
        <v>16</v>
      </c>
      <c r="L19" s="57"/>
      <c r="M19" s="57" t="e">
        <f t="shared" ref="M19:V19" si="1">M25*M16-M5</f>
        <v>#REF!</v>
      </c>
      <c r="N19" s="57" t="e">
        <f t="shared" si="1"/>
        <v>#REF!</v>
      </c>
      <c r="O19" s="57" t="e">
        <f t="shared" si="1"/>
        <v>#REF!</v>
      </c>
      <c r="P19" s="57" t="e">
        <f t="shared" si="1"/>
        <v>#REF!</v>
      </c>
      <c r="Q19" s="57" t="e">
        <f t="shared" si="1"/>
        <v>#REF!</v>
      </c>
      <c r="R19" s="57" t="e">
        <f t="shared" si="1"/>
        <v>#REF!</v>
      </c>
      <c r="S19" s="57" t="e">
        <f t="shared" si="1"/>
        <v>#REF!</v>
      </c>
      <c r="T19" s="57" t="e">
        <f t="shared" si="1"/>
        <v>#REF!</v>
      </c>
      <c r="U19" s="57" t="e">
        <f t="shared" si="1"/>
        <v>#REF!</v>
      </c>
      <c r="V19" s="57" t="e">
        <f t="shared" si="1"/>
        <v>#REF!</v>
      </c>
      <c r="W19" s="57"/>
      <c r="X19" s="57"/>
      <c r="Y19" s="57"/>
      <c r="AA19" s="68" t="e">
        <f>Лист2!#REF!</f>
        <v>#REF!</v>
      </c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</row>
    <row r="20" spans="1:45" s="11" customFormat="1" ht="14.25" customHeight="1" x14ac:dyDescent="0.25">
      <c r="A20" s="6"/>
      <c r="B20" s="166"/>
      <c r="C20" s="166"/>
      <c r="D20" s="166"/>
      <c r="E20" s="166"/>
      <c r="F20" s="167"/>
      <c r="G20" s="185"/>
      <c r="H20" s="151"/>
      <c r="I20" s="1"/>
      <c r="J20" s="53"/>
      <c r="AA20" s="68" t="e">
        <f>Лист2!#REF!</f>
        <v>#REF!</v>
      </c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</row>
    <row r="21" spans="1:45" s="11" customFormat="1" x14ac:dyDescent="0.25">
      <c r="A21" s="6"/>
      <c r="B21" s="219" t="s">
        <v>55</v>
      </c>
      <c r="C21" s="220">
        <f>[1]Назви!B14</f>
        <v>0</v>
      </c>
      <c r="D21" s="220">
        <f>[1]Назви!C14</f>
        <v>0</v>
      </c>
      <c r="E21" s="220">
        <f>[1]Назви!D14</f>
        <v>0</v>
      </c>
      <c r="F21" s="170">
        <f ca="1">F97</f>
        <v>384287.4411759965</v>
      </c>
      <c r="G21" s="189">
        <f ca="1">F21/F16</f>
        <v>16011.97671566652</v>
      </c>
      <c r="H21" s="149">
        <f ca="1">F21/F16/G3</f>
        <v>526.70976038376716</v>
      </c>
      <c r="I21" s="1"/>
      <c r="J21" s="53"/>
      <c r="K21" s="55" t="s">
        <v>17</v>
      </c>
      <c r="L21" s="66"/>
      <c r="M21" s="66" t="e">
        <f t="shared" ref="M21:V21" si="2">M19/M5</f>
        <v>#REF!</v>
      </c>
      <c r="N21" s="66" t="e">
        <f t="shared" si="2"/>
        <v>#REF!</v>
      </c>
      <c r="O21" s="66" t="e">
        <f t="shared" si="2"/>
        <v>#REF!</v>
      </c>
      <c r="P21" s="66" t="e">
        <f t="shared" si="2"/>
        <v>#REF!</v>
      </c>
      <c r="Q21" s="66" t="e">
        <f t="shared" si="2"/>
        <v>#REF!</v>
      </c>
      <c r="R21" s="66" t="e">
        <f t="shared" si="2"/>
        <v>#REF!</v>
      </c>
      <c r="S21" s="66" t="e">
        <f t="shared" si="2"/>
        <v>#REF!</v>
      </c>
      <c r="T21" s="66" t="e">
        <f t="shared" si="2"/>
        <v>#REF!</v>
      </c>
      <c r="U21" s="66" t="e">
        <f t="shared" si="2"/>
        <v>#REF!</v>
      </c>
      <c r="V21" s="66" t="e">
        <f t="shared" si="2"/>
        <v>#REF!</v>
      </c>
      <c r="W21" s="66"/>
      <c r="X21" s="66"/>
      <c r="Y21" s="66"/>
      <c r="AA21" s="68" t="e">
        <f>Лист2!#REF!</f>
        <v>#REF!</v>
      </c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</row>
    <row r="22" spans="1:45" s="60" customFormat="1" x14ac:dyDescent="0.25">
      <c r="A22" s="172"/>
      <c r="B22" s="177"/>
      <c r="C22" s="177"/>
      <c r="D22" s="177"/>
      <c r="E22" s="177"/>
      <c r="F22" s="178"/>
      <c r="G22" s="190"/>
      <c r="H22" s="149"/>
      <c r="J22" s="173"/>
      <c r="K22" s="174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  <c r="X22" s="179"/>
      <c r="Y22" s="179"/>
      <c r="AA22" s="155"/>
    </row>
    <row r="23" spans="1:45" s="11" customFormat="1" x14ac:dyDescent="0.25">
      <c r="A23" s="6"/>
      <c r="B23" s="219" t="s">
        <v>56</v>
      </c>
      <c r="C23" s="220">
        <f>[1]Назви!B16</f>
        <v>0</v>
      </c>
      <c r="D23" s="220">
        <f>[1]Назви!C16</f>
        <v>0</v>
      </c>
      <c r="E23" s="220">
        <f>[1]Назви!D16</f>
        <v>0</v>
      </c>
      <c r="F23" s="176">
        <f ca="1">G97</f>
        <v>884288.48117599648</v>
      </c>
      <c r="G23" s="190"/>
      <c r="H23" s="149"/>
      <c r="I23" s="1"/>
      <c r="J23" s="53"/>
      <c r="K23" s="55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AA23" s="68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</row>
    <row r="24" spans="1:45" s="11" customFormat="1" ht="15.75" customHeight="1" x14ac:dyDescent="0.25">
      <c r="A24" s="6"/>
      <c r="B24" s="168"/>
      <c r="C24" s="168"/>
      <c r="D24" s="168"/>
      <c r="E24" s="168"/>
      <c r="F24" s="169"/>
      <c r="G24" s="187"/>
      <c r="H24" s="151"/>
      <c r="I24" s="1"/>
      <c r="J24" s="53"/>
      <c r="AA24" s="68" t="e">
        <f>Лист2!#REF!</f>
        <v>#REF!</v>
      </c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</row>
    <row r="25" spans="1:45" s="11" customFormat="1" x14ac:dyDescent="0.25">
      <c r="A25" s="6"/>
      <c r="B25" s="219" t="s">
        <v>57</v>
      </c>
      <c r="C25" s="220">
        <f>[1]Назви!B16</f>
        <v>0</v>
      </c>
      <c r="D25" s="220">
        <f>[1]Назви!C16</f>
        <v>0</v>
      </c>
      <c r="E25" s="220">
        <f>[1]Назви!D16</f>
        <v>0</v>
      </c>
      <c r="F25" s="160">
        <f>VLOOKUP(H$2,Лист2!$A:$O,15,0)</f>
        <v>0.999</v>
      </c>
      <c r="G25" s="183">
        <f>F25/F16</f>
        <v>4.1625000000000002E-2</v>
      </c>
      <c r="H25" s="154"/>
      <c r="I25" s="1"/>
      <c r="J25" s="53"/>
      <c r="K25" s="54" t="s">
        <v>12</v>
      </c>
      <c r="L25" s="57"/>
      <c r="M25" s="57" t="e">
        <f t="shared" ref="M25:V25" si="3">PMT(M10/12,M16,-M18)+M18*M14</f>
        <v>#REF!</v>
      </c>
      <c r="N25" s="57" t="e">
        <f t="shared" si="3"/>
        <v>#REF!</v>
      </c>
      <c r="O25" s="57" t="e">
        <f t="shared" si="3"/>
        <v>#REF!</v>
      </c>
      <c r="P25" s="57" t="e">
        <f t="shared" si="3"/>
        <v>#REF!</v>
      </c>
      <c r="Q25" s="57" t="e">
        <f t="shared" si="3"/>
        <v>#REF!</v>
      </c>
      <c r="R25" s="57" t="e">
        <f t="shared" si="3"/>
        <v>#REF!</v>
      </c>
      <c r="S25" s="57" t="e">
        <f t="shared" si="3"/>
        <v>#REF!</v>
      </c>
      <c r="T25" s="57" t="e">
        <f t="shared" si="3"/>
        <v>#REF!</v>
      </c>
      <c r="U25" s="57" t="e">
        <f t="shared" si="3"/>
        <v>#REF!</v>
      </c>
      <c r="V25" s="57" t="e">
        <f t="shared" si="3"/>
        <v>#REF!</v>
      </c>
      <c r="W25" s="57"/>
      <c r="X25" s="57"/>
      <c r="Y25" s="57"/>
      <c r="AA25" s="68" t="str">
        <f>Лист2!A4</f>
        <v>Мікрокредит_з СК_36 місяців</v>
      </c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</row>
    <row r="26" spans="1:45" s="11" customFormat="1" x14ac:dyDescent="0.25">
      <c r="A26" s="6"/>
      <c r="B26" s="14"/>
      <c r="C26" s="14"/>
      <c r="D26" s="14"/>
      <c r="E26" s="14"/>
      <c r="F26" s="18"/>
      <c r="G26" s="15"/>
      <c r="H26" s="144"/>
      <c r="I26" s="1"/>
      <c r="J26" s="1"/>
      <c r="Q26" s="56"/>
      <c r="R26" s="56"/>
      <c r="S26" s="56"/>
      <c r="T26" s="56"/>
      <c r="U26" s="56"/>
      <c r="V26" s="56"/>
      <c r="W26" s="56"/>
      <c r="X26" s="56"/>
      <c r="Y26" s="56"/>
      <c r="AA26" s="68" t="e">
        <f>Лист2!#REF!</f>
        <v>#REF!</v>
      </c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</row>
    <row r="27" spans="1:45" s="8" customFormat="1" ht="38.25" hidden="1" customHeight="1" outlineLevel="1" x14ac:dyDescent="0.25">
      <c r="A27" s="6"/>
      <c r="B27" s="221" t="str">
        <f>Назви!A18</f>
        <v>Інший термін</v>
      </c>
      <c r="C27" s="222">
        <f>Назви!B18</f>
        <v>0</v>
      </c>
      <c r="D27" s="69" t="str">
        <f>Назви!C18</f>
        <v>Щомісячний платіж</v>
      </c>
      <c r="E27" s="70" t="str">
        <f>Назви!D18</f>
        <v>Переплата у грн.               за весь період</v>
      </c>
      <c r="F27" s="19" t="str">
        <f>Назви!E18</f>
        <v>Переплата у відсотках за весь період</v>
      </c>
      <c r="G27" s="19" t="str">
        <f>Назви!F18</f>
        <v>Переплата в місяць</v>
      </c>
      <c r="H27" s="19" t="str">
        <f>Назви!G18</f>
        <v>Переплата в день</v>
      </c>
      <c r="I27" s="19" t="str">
        <f>Назви!H18</f>
        <v>Щодененний платіж</v>
      </c>
      <c r="AA27" s="68" t="str">
        <f>Лист2!A5</f>
        <v>Мікрокредит_з СК_ 24 місяці</v>
      </c>
      <c r="AC27" s="120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</row>
    <row r="28" spans="1:45" s="8" customFormat="1" hidden="1" outlineLevel="1" x14ac:dyDescent="0.25">
      <c r="A28" s="58" t="str">
        <f>LEFT(B28,2)</f>
        <v>24</v>
      </c>
      <c r="B28" s="223" t="s">
        <v>40</v>
      </c>
      <c r="C28" s="224"/>
      <c r="D28" s="45" t="str">
        <f>IF(ISERROR(M25),"",M25)</f>
        <v/>
      </c>
      <c r="E28" s="45" t="str">
        <f>IF(ISERROR(M19),"",M19)</f>
        <v/>
      </c>
      <c r="F28" s="74" t="str">
        <f>IF(ISERROR(M21),"",M21)</f>
        <v/>
      </c>
      <c r="G28" s="20" t="str">
        <f>IF(ISERROR(E28/A28),"",E28/A28)</f>
        <v/>
      </c>
      <c r="H28" s="21" t="str">
        <f>IF(ISERROR(E28/A28/G$3),"",E28/A28/G$3)</f>
        <v/>
      </c>
      <c r="I28" s="22" t="str">
        <f>IF(ISERROR(D28/G$3),"",D28/G$3)</f>
        <v/>
      </c>
      <c r="K28" s="56"/>
      <c r="L28" s="56"/>
      <c r="M28" s="56"/>
      <c r="N28" s="56"/>
      <c r="O28" s="56"/>
      <c r="P28" s="56"/>
      <c r="Q28" s="56"/>
      <c r="R28" s="56"/>
      <c r="S28" s="56"/>
      <c r="AA28" s="68" t="str">
        <f>Лист2!A6</f>
        <v>Мікрокредит_з СК_18 місяців</v>
      </c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</row>
    <row r="29" spans="1:45" s="8" customFormat="1" hidden="1" outlineLevel="1" x14ac:dyDescent="0.25">
      <c r="A29" s="58" t="str">
        <f>LEFT(B29,2)</f>
        <v>18</v>
      </c>
      <c r="B29" s="223" t="s">
        <v>41</v>
      </c>
      <c r="C29" s="224"/>
      <c r="D29" s="46" t="str">
        <f>IF(ISERROR(N25),"",N25)</f>
        <v/>
      </c>
      <c r="E29" s="46" t="str">
        <f>IF(ISERROR(N19),"",N19)</f>
        <v/>
      </c>
      <c r="F29" s="75" t="str">
        <f>IF(ISERROR(N21),"",N21)</f>
        <v/>
      </c>
      <c r="G29" s="20" t="str">
        <f>IF(ISERROR(E29/A29),"",E29/A29)</f>
        <v/>
      </c>
      <c r="H29" s="21" t="str">
        <f>IF(ISERROR(E29/A29/G$3),"",E29/A29/G$3)</f>
        <v/>
      </c>
      <c r="I29" s="22" t="str">
        <f>IF(ISERROR(D29/G$3),"",D29/G$3)</f>
        <v/>
      </c>
      <c r="K29" s="56"/>
      <c r="L29" s="56"/>
      <c r="M29" s="56"/>
      <c r="N29" s="56"/>
      <c r="O29" s="56"/>
      <c r="P29" s="56"/>
      <c r="Q29" s="56"/>
      <c r="R29" s="56"/>
      <c r="S29" s="56"/>
      <c r="AA29" s="68" t="str">
        <f>Лист2!A7</f>
        <v>Мікрокредит_з СК_12 місяців</v>
      </c>
      <c r="AC29" s="120"/>
      <c r="AD29" s="120"/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20"/>
      <c r="AP29" s="120"/>
      <c r="AQ29" s="120"/>
      <c r="AR29" s="120"/>
      <c r="AS29" s="120"/>
    </row>
    <row r="30" spans="1:45" s="8" customFormat="1" hidden="1" outlineLevel="1" x14ac:dyDescent="0.25">
      <c r="A30" s="58" t="str">
        <f>LEFT(B30,2)</f>
        <v>12</v>
      </c>
      <c r="B30" s="223" t="s">
        <v>11</v>
      </c>
      <c r="C30" s="224"/>
      <c r="D30" s="46" t="str">
        <f>IF(ISERROR(O25),"",O25)</f>
        <v/>
      </c>
      <c r="E30" s="46" t="str">
        <f>IF(ISERROR(O19),"",O19)</f>
        <v/>
      </c>
      <c r="F30" s="75" t="str">
        <f>IF(ISERROR(O21),"",O21)</f>
        <v/>
      </c>
      <c r="G30" s="20" t="str">
        <f>IF(ISERROR(E30/A30),"",E30/A30)</f>
        <v/>
      </c>
      <c r="H30" s="21" t="str">
        <f>IF(ISERROR(E30/A30/G$3),"",E30/A30/G$3)</f>
        <v/>
      </c>
      <c r="I30" s="22" t="str">
        <f>IF(ISERROR(D30/G$3),"",D30/G$3)</f>
        <v/>
      </c>
      <c r="K30" s="56"/>
      <c r="L30" s="56"/>
      <c r="M30" s="56"/>
      <c r="N30" s="56"/>
      <c r="O30" s="56"/>
      <c r="P30" s="56"/>
      <c r="Q30" s="56"/>
      <c r="R30" s="56"/>
      <c r="S30" s="56"/>
      <c r="AA30" s="68" t="e">
        <f>Лист2!#REF!</f>
        <v>#REF!</v>
      </c>
      <c r="AC30" s="120"/>
      <c r="AD30" s="120"/>
      <c r="AE30" s="120"/>
      <c r="AF30" s="120"/>
      <c r="AG30" s="120"/>
      <c r="AH30" s="120"/>
      <c r="AI30" s="120"/>
      <c r="AJ30" s="120"/>
      <c r="AK30" s="120"/>
      <c r="AL30" s="120"/>
      <c r="AM30" s="120"/>
      <c r="AN30" s="120"/>
      <c r="AO30" s="120"/>
      <c r="AP30" s="120"/>
      <c r="AQ30" s="120"/>
      <c r="AR30" s="120"/>
      <c r="AS30" s="120"/>
    </row>
    <row r="31" spans="1:45" s="8" customFormat="1" hidden="1" outlineLevel="1" x14ac:dyDescent="0.25">
      <c r="A31" s="58" t="str">
        <f>LEFT(B31,2)</f>
        <v/>
      </c>
      <c r="B31" s="223"/>
      <c r="C31" s="224"/>
      <c r="D31" s="46" t="str">
        <f>IF(ISERROR(P25),"",P25)</f>
        <v/>
      </c>
      <c r="E31" s="46" t="str">
        <f>IF(ISERROR(P19),"",P19)</f>
        <v/>
      </c>
      <c r="F31" s="75" t="str">
        <f>IF(ISERROR(P21),"",P21)</f>
        <v/>
      </c>
      <c r="G31" s="20" t="str">
        <f>IF(ISERROR(E31/A31),"",E31/A31)</f>
        <v/>
      </c>
      <c r="H31" s="21" t="str">
        <f>IF(ISERROR(E31/A31/G$3),"",E31/A31/G$3)</f>
        <v/>
      </c>
      <c r="I31" s="22" t="str">
        <f>IF(ISERROR(D31/G$3),"",D31/G$3)</f>
        <v/>
      </c>
      <c r="K31" s="56"/>
      <c r="L31" s="56"/>
      <c r="M31" s="56"/>
      <c r="N31" s="56"/>
      <c r="O31" s="56"/>
      <c r="P31" s="56"/>
      <c r="Q31" s="56"/>
      <c r="R31" s="56"/>
      <c r="S31" s="56"/>
      <c r="AA31" s="68" t="e">
        <f>Лист2!#REF!</f>
        <v>#REF!</v>
      </c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</row>
    <row r="32" spans="1:45" s="8" customFormat="1" ht="6" customHeight="1" collapsed="1" x14ac:dyDescent="0.25">
      <c r="A32" s="24"/>
      <c r="B32" s="7"/>
      <c r="C32" s="14"/>
      <c r="D32" s="7"/>
      <c r="E32" s="23"/>
      <c r="F32" s="24"/>
      <c r="G32" s="42"/>
      <c r="H32" s="43"/>
      <c r="I32" s="25"/>
      <c r="J32" s="25"/>
      <c r="K32" s="56"/>
      <c r="L32" s="56"/>
      <c r="M32" s="56"/>
      <c r="N32" s="56"/>
      <c r="O32" s="56"/>
      <c r="P32" s="56"/>
      <c r="Q32" s="56"/>
      <c r="R32" s="56"/>
      <c r="S32" s="56"/>
      <c r="AA32" s="68" t="e">
        <f>Лист2!#REF!</f>
        <v>#REF!</v>
      </c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</row>
    <row r="33" spans="1:45" s="11" customFormat="1" ht="6" customHeight="1" thickBot="1" x14ac:dyDescent="0.3">
      <c r="A33" s="6"/>
      <c r="B33" s="26"/>
      <c r="C33" s="14"/>
      <c r="D33" s="126"/>
      <c r="E33" s="27"/>
      <c r="F33" s="28"/>
      <c r="G33" s="16"/>
      <c r="H33" s="15"/>
      <c r="I33" s="1"/>
      <c r="J33" s="1"/>
      <c r="K33" s="56"/>
      <c r="L33" s="56"/>
      <c r="M33" s="56"/>
      <c r="N33" s="56"/>
      <c r="O33" s="56"/>
      <c r="P33" s="56"/>
      <c r="Q33" s="56"/>
      <c r="R33" s="56"/>
      <c r="S33" s="56"/>
      <c r="AA33" s="68" t="e">
        <f>Лист2!#REF!</f>
        <v>#REF!</v>
      </c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</row>
    <row r="34" spans="1:45" ht="18" thickBot="1" x14ac:dyDescent="0.3">
      <c r="A34" s="1"/>
      <c r="B34" s="227" t="str">
        <f>Назви!A25</f>
        <v xml:space="preserve">ОРІЄНТОВНИЙ ГРАФІК СПЛАТИ КРЕДИТУ </v>
      </c>
      <c r="C34" s="228"/>
      <c r="D34" s="228"/>
      <c r="E34" s="228"/>
      <c r="F34" s="228"/>
      <c r="G34" s="228"/>
      <c r="H34" s="229"/>
      <c r="I34" s="3"/>
      <c r="K34" s="138"/>
      <c r="L34" s="138"/>
      <c r="M34" s="138"/>
      <c r="N34" s="138"/>
      <c r="O34" s="138"/>
      <c r="P34" s="138"/>
      <c r="Q34" s="138"/>
      <c r="R34" s="138"/>
      <c r="S34" s="138"/>
      <c r="AA34" s="68"/>
    </row>
    <row r="35" spans="1:45" ht="31.2" thickBot="1" x14ac:dyDescent="0.3">
      <c r="A35" s="1"/>
      <c r="B35" s="230" t="str">
        <f>Назви!A26</f>
        <v>Місяць</v>
      </c>
      <c r="C35" s="231"/>
      <c r="D35" s="118" t="str">
        <f>Назви!C26</f>
        <v>Розмір щомісячних внесків з повернення кредиту, грн.</v>
      </c>
      <c r="E35" s="118" t="str">
        <f>Назви!D26</f>
        <v>Розмір щомісячної плати за обслуговування кредиту, грн.</v>
      </c>
      <c r="F35" s="118" t="str">
        <f>Назви!E26</f>
        <v>Розмір щомісячних процентних внесків, грн.</v>
      </c>
      <c r="G35" s="230" t="str">
        <f>Назви!F26</f>
        <v>Загальна сума внесків до повернення в місяць, грн.</v>
      </c>
      <c r="H35" s="231"/>
      <c r="I35" s="3"/>
      <c r="K35" s="138"/>
      <c r="L35" s="138"/>
      <c r="M35" s="138"/>
      <c r="N35" s="138"/>
      <c r="O35" s="138"/>
      <c r="P35" s="138"/>
      <c r="Q35" s="138"/>
      <c r="R35" s="138"/>
      <c r="S35" s="138"/>
      <c r="AA35" s="68" t="e">
        <f>Лист2!#REF!</f>
        <v>#REF!</v>
      </c>
    </row>
    <row r="36" spans="1:45" ht="0.75" customHeight="1" thickBot="1" x14ac:dyDescent="0.3">
      <c r="A36" s="1"/>
      <c r="B36" s="114">
        <v>0</v>
      </c>
      <c r="C36" s="127">
        <f ca="1">TODAY()</f>
        <v>45355</v>
      </c>
      <c r="D36" s="115"/>
      <c r="E36" s="116"/>
      <c r="F36" s="115"/>
      <c r="G36" s="29">
        <f>-E3</f>
        <v>-462963</v>
      </c>
      <c r="H36" s="47"/>
      <c r="I36" s="3"/>
      <c r="K36" s="138"/>
      <c r="L36" s="138"/>
      <c r="M36" s="138"/>
      <c r="N36" s="138"/>
      <c r="O36" s="138"/>
      <c r="P36" s="138"/>
      <c r="Q36" s="138"/>
      <c r="R36" s="138"/>
      <c r="S36" s="138"/>
      <c r="AA36" s="68" t="str">
        <f>Лист2!A5</f>
        <v>Мікрокредит_з СК_ 24 місяці</v>
      </c>
    </row>
    <row r="37" spans="1:45" x14ac:dyDescent="0.25">
      <c r="A37" s="1">
        <v>1</v>
      </c>
      <c r="B37" s="125">
        <v>1</v>
      </c>
      <c r="C37" s="132">
        <f ca="1">DATE(YEAR(C36),MONTH(C36)+1,DAY(C36))</f>
        <v>45386</v>
      </c>
      <c r="D37" s="133">
        <f ca="1">IF(B37&lt;$F$16,$G$19-E37-F37,IF(B37=$F$16,$E$18-SUM($D$36:D36),0))</f>
        <v>10535.075420101675</v>
      </c>
      <c r="E37" s="134">
        <f>IF(B37&lt;=$F$16,(E$18*(VLOOKUP($H$2,Лист2!$A:$N,12,0)-(B37-1)*VLOOKUP($H$2,Лист2!$A:$N,13,0))),0)</f>
        <v>0</v>
      </c>
      <c r="F37" s="134">
        <f ca="1">($E$18-SUM($D$36:D36))*$F$10/365*(C37-C36)</f>
        <v>26201.424361863013</v>
      </c>
      <c r="G37" s="225">
        <f t="shared" ref="G37:G48" ca="1" si="4">D37+E37+F37</f>
        <v>36736.499781964689</v>
      </c>
      <c r="H37" s="226"/>
      <c r="I37" s="3"/>
      <c r="K37" s="138"/>
      <c r="L37" s="138"/>
      <c r="M37" s="138"/>
      <c r="N37" s="138"/>
      <c r="O37" s="138"/>
      <c r="P37" s="138"/>
      <c r="Q37" s="138"/>
      <c r="R37" s="138"/>
      <c r="S37" s="138"/>
      <c r="AA37" s="68" t="e">
        <f>Лист2!#REF!</f>
        <v>#REF!</v>
      </c>
    </row>
    <row r="38" spans="1:45" x14ac:dyDescent="0.25">
      <c r="A38" s="1">
        <v>2</v>
      </c>
      <c r="B38" s="124">
        <v>2</v>
      </c>
      <c r="C38" s="128">
        <f t="shared" ref="C38:C96" ca="1" si="5">DATE(YEAR(C37),MONTH(C37)+1,DAY(C37))</f>
        <v>45416</v>
      </c>
      <c r="D38" s="30">
        <f ca="1">IF(B38&lt;$F$16,$G$19-E38-F38,IF(B38=$F$16,$E$18-SUM($D$36:D37),0))</f>
        <v>11914.540865871768</v>
      </c>
      <c r="E38" s="31">
        <f>IF(B38&lt;=$F$16,(E$18*(VLOOKUP($H$2,Лист2!$A:$N,12,0)-(B38-1)*VLOOKUP($H$2,Лист2!$A:$N,13,0))),0)</f>
        <v>0</v>
      </c>
      <c r="F38" s="31">
        <f ca="1">($E$18-SUM($D$36:D37))*$F$10/365*(C38-C37)</f>
        <v>24821.958916092921</v>
      </c>
      <c r="G38" s="200">
        <f t="shared" ca="1" si="4"/>
        <v>36736.499781964689</v>
      </c>
      <c r="H38" s="201"/>
      <c r="I38" s="3"/>
      <c r="K38" s="138"/>
      <c r="L38" s="138"/>
      <c r="M38" s="138"/>
      <c r="N38" s="138"/>
      <c r="O38" s="138"/>
      <c r="P38" s="138"/>
      <c r="Q38" s="138"/>
      <c r="R38" s="138"/>
      <c r="S38" s="138"/>
      <c r="AA38" s="68" t="e">
        <f>Лист2!#REF!</f>
        <v>#REF!</v>
      </c>
    </row>
    <row r="39" spans="1:45" x14ac:dyDescent="0.25">
      <c r="A39" s="1">
        <v>3</v>
      </c>
      <c r="B39" s="124">
        <v>3</v>
      </c>
      <c r="C39" s="128">
        <f t="shared" ca="1" si="5"/>
        <v>45447</v>
      </c>
      <c r="D39" s="30">
        <f ca="1">IF(B39&lt;$F$16,$G$19-E39-F39,IF(B39=$F$16,$E$18-SUM($D$36:D38),0))</f>
        <v>11711.49681928473</v>
      </c>
      <c r="E39" s="31">
        <f>IF(B39&lt;=$F$16,(E$18*(VLOOKUP($H$2,Лист2!$A:$N,12,0)-(B39-1)*VLOOKUP($H$2,Лист2!$A:$N,13,0))),0)</f>
        <v>0</v>
      </c>
      <c r="F39" s="31">
        <f ca="1">($E$18-SUM($D$36:D38))*$F$10/365*(C39-C38)</f>
        <v>25025.002962679959</v>
      </c>
      <c r="G39" s="200">
        <f t="shared" ca="1" si="4"/>
        <v>36736.499781964689</v>
      </c>
      <c r="H39" s="201"/>
      <c r="I39" s="3"/>
      <c r="K39" s="138"/>
      <c r="L39" s="138"/>
      <c r="M39" s="138"/>
      <c r="N39" s="138"/>
      <c r="O39" s="138"/>
      <c r="P39" s="138"/>
      <c r="Q39" s="138"/>
      <c r="R39" s="138"/>
      <c r="S39" s="138"/>
      <c r="AA39" s="68" t="e">
        <f>Лист2!#REF!</f>
        <v>#REF!</v>
      </c>
    </row>
    <row r="40" spans="1:45" x14ac:dyDescent="0.25">
      <c r="A40" s="1">
        <v>4</v>
      </c>
      <c r="B40" s="124">
        <v>4</v>
      </c>
      <c r="C40" s="128">
        <f t="shared" ca="1" si="5"/>
        <v>45477</v>
      </c>
      <c r="D40" s="30">
        <f ca="1">IF(B40&lt;$F$16,$G$19-E40-F40,IF(B40=$F$16,$E$18-SUM($D$36:D39),0))</f>
        <v>13112.672256425863</v>
      </c>
      <c r="E40" s="31">
        <f>IF(B40&lt;=$F$16,(E$18*(VLOOKUP($H$2,Лист2!$A:$N,12,0)-(B40-1)*VLOOKUP($H$2,Лист2!$A:$N,13,0))),0)</f>
        <v>0</v>
      </c>
      <c r="F40" s="31">
        <f ca="1">($E$18-SUM($D$36:D39))*$F$10/365*(C40-C39)</f>
        <v>23623.827525538825</v>
      </c>
      <c r="G40" s="200">
        <f t="shared" ca="1" si="4"/>
        <v>36736.499781964689</v>
      </c>
      <c r="H40" s="201"/>
      <c r="I40" s="3"/>
      <c r="K40" s="138"/>
      <c r="L40" s="138"/>
      <c r="M40" s="138"/>
      <c r="N40" s="138"/>
      <c r="O40" s="138"/>
      <c r="P40" s="138"/>
      <c r="Q40" s="138"/>
      <c r="R40" s="138"/>
      <c r="S40" s="138"/>
      <c r="AA40" s="68" t="str">
        <f>Лист2!A8</f>
        <v>Мікрокредит_без СК_36 місяців</v>
      </c>
    </row>
    <row r="41" spans="1:45" x14ac:dyDescent="0.25">
      <c r="A41" s="1">
        <v>5</v>
      </c>
      <c r="B41" s="124">
        <v>5</v>
      </c>
      <c r="C41" s="128">
        <f t="shared" ca="1" si="5"/>
        <v>45508</v>
      </c>
      <c r="D41" s="30">
        <f ca="1">IF(B41&lt;$F$16,$G$19-E41-F41,IF(B41=$F$16,$E$18-SUM($D$36:D40),0))</f>
        <v>13012.351290274091</v>
      </c>
      <c r="E41" s="31">
        <f>IF(B41&lt;=$F$16,(E$18*(VLOOKUP($H$2,Лист2!$A:$N,12,0)-(B41-1)*VLOOKUP($H$2,Лист2!$A:$N,13,0))),0)</f>
        <v>0</v>
      </c>
      <c r="F41" s="31">
        <f ca="1">($E$18-SUM($D$36:D40))*$F$10/365*(C41-C40)</f>
        <v>23724.148491690597</v>
      </c>
      <c r="G41" s="200">
        <f t="shared" ca="1" si="4"/>
        <v>36736.499781964689</v>
      </c>
      <c r="H41" s="201"/>
      <c r="I41" s="3"/>
      <c r="K41" s="138"/>
      <c r="L41" s="138"/>
      <c r="M41" s="138"/>
      <c r="N41" s="138"/>
      <c r="O41" s="138"/>
      <c r="P41" s="138"/>
      <c r="Q41" s="138"/>
      <c r="R41" s="138"/>
      <c r="S41" s="138"/>
      <c r="AA41" s="68" t="str">
        <f>Лист2!A9</f>
        <v>Мікрокредит_без СК_24 місяці</v>
      </c>
    </row>
    <row r="42" spans="1:45" x14ac:dyDescent="0.25">
      <c r="A42" s="1">
        <v>6</v>
      </c>
      <c r="B42" s="124">
        <v>6</v>
      </c>
      <c r="C42" s="128">
        <f t="shared" ca="1" si="5"/>
        <v>45539</v>
      </c>
      <c r="D42" s="30">
        <f ca="1">IF(B42&lt;$F$16,$G$19-E42-F42,IF(B42=$F$16,$E$18-SUM($D$36:D41),0))</f>
        <v>13694.234148161962</v>
      </c>
      <c r="E42" s="31">
        <f>IF(B42&lt;=$F$16,(E$18*(VLOOKUP($H$2,Лист2!$A:$N,12,0)-(B42-1)*VLOOKUP($H$2,Лист2!$A:$N,13,0))),0)</f>
        <v>0</v>
      </c>
      <c r="F42" s="31">
        <f ca="1">($E$18-SUM($D$36:D41))*$F$10/365*(C42-C41)</f>
        <v>23042.265633802726</v>
      </c>
      <c r="G42" s="200">
        <f t="shared" ca="1" si="4"/>
        <v>36736.499781964689</v>
      </c>
      <c r="H42" s="201"/>
      <c r="I42" s="3"/>
      <c r="K42" s="138"/>
      <c r="L42" s="138"/>
      <c r="M42" s="138"/>
      <c r="N42" s="138"/>
      <c r="O42" s="138"/>
      <c r="P42" s="138"/>
      <c r="Q42" s="138"/>
      <c r="R42" s="138"/>
      <c r="S42" s="138"/>
      <c r="AA42" s="68" t="str">
        <f>Лист2!A10</f>
        <v>Мікрокредит_без СК_18 місяців</v>
      </c>
    </row>
    <row r="43" spans="1:45" x14ac:dyDescent="0.25">
      <c r="A43" s="1">
        <v>7</v>
      </c>
      <c r="B43" s="124">
        <v>7</v>
      </c>
      <c r="C43" s="128">
        <f t="shared" ca="1" si="5"/>
        <v>45569</v>
      </c>
      <c r="D43" s="30">
        <f ca="1">IF(B43&lt;$F$16,$G$19-E43-F43,IF(B43=$F$16,$E$18-SUM($D$36:D42),0))</f>
        <v>15131.999543910504</v>
      </c>
      <c r="E43" s="31">
        <f>IF(B43&lt;=$F$16,(E$18*(VLOOKUP($H$2,Лист2!$A:$N,12,0)-(B43-1)*VLOOKUP($H$2,Лист2!$A:$N,13,0))),0)</f>
        <v>0</v>
      </c>
      <c r="F43" s="31">
        <f ca="1">($E$18-SUM($D$36:D42))*$F$10/365*(C43-C42)</f>
        <v>21604.500238054185</v>
      </c>
      <c r="G43" s="200">
        <f t="shared" ca="1" si="4"/>
        <v>36736.499781964689</v>
      </c>
      <c r="H43" s="201"/>
      <c r="I43" s="3"/>
      <c r="K43" s="138"/>
      <c r="L43" s="138"/>
      <c r="M43" s="138"/>
      <c r="N43" s="138"/>
      <c r="O43" s="138"/>
      <c r="P43" s="138"/>
      <c r="Q43" s="138"/>
      <c r="R43" s="138"/>
      <c r="S43" s="138"/>
      <c r="AA43" s="68" t="str">
        <f>Лист2!A11</f>
        <v>Мікрокредит_без СК_12 місяців</v>
      </c>
    </row>
    <row r="44" spans="1:45" x14ac:dyDescent="0.25">
      <c r="A44" s="1">
        <v>8</v>
      </c>
      <c r="B44" s="124">
        <v>8</v>
      </c>
      <c r="C44" s="128">
        <f t="shared" ca="1" si="5"/>
        <v>45600</v>
      </c>
      <c r="D44" s="30">
        <f ca="1">IF(B44&lt;$F$16,$G$19-E44-F44,IF(B44=$F$16,$E$18-SUM($D$36:D43),0))</f>
        <v>15204.807769609277</v>
      </c>
      <c r="E44" s="31">
        <f>IF(B44&lt;=$F$16,(E$18*(VLOOKUP($H$2,Лист2!$A:$N,12,0)-(B44-1)*VLOOKUP($H$2,Лист2!$A:$N,13,0))),0)</f>
        <v>0</v>
      </c>
      <c r="F44" s="31">
        <f ca="1">($E$18-SUM($D$36:D43))*$F$10/365*(C44-C43)</f>
        <v>21531.692012355412</v>
      </c>
      <c r="G44" s="200">
        <f t="shared" ca="1" si="4"/>
        <v>36736.499781964689</v>
      </c>
      <c r="H44" s="201"/>
      <c r="I44" s="3"/>
      <c r="K44" s="138"/>
      <c r="L44" s="138"/>
      <c r="M44" s="138"/>
      <c r="N44" s="138"/>
      <c r="O44" s="138"/>
      <c r="P44" s="138"/>
      <c r="Q44" s="138"/>
      <c r="R44" s="138"/>
      <c r="S44" s="138"/>
      <c r="AA44" s="68" t="str">
        <f>Лист2!A12</f>
        <v>Мікрокредит_online_з СК_36 місяців</v>
      </c>
    </row>
    <row r="45" spans="1:45" x14ac:dyDescent="0.25">
      <c r="A45" s="1">
        <v>9</v>
      </c>
      <c r="B45" s="124">
        <v>9</v>
      </c>
      <c r="C45" s="128">
        <f t="shared" ca="1" si="5"/>
        <v>45630</v>
      </c>
      <c r="D45" s="30">
        <f ca="1">IF(B45&lt;$F$16,$G$19-E45-F45,IF(B45=$F$16,$E$18-SUM($D$36:D44),0))</f>
        <v>16670.449690138594</v>
      </c>
      <c r="E45" s="31">
        <f>IF(B45&lt;=$F$16,(E$18*(VLOOKUP($H$2,Лист2!$A:$N,12,0)-(B45-1)*VLOOKUP($H$2,Лист2!$A:$N,13,0))),0)</f>
        <v>0</v>
      </c>
      <c r="F45" s="31">
        <f ca="1">($E$18-SUM($D$36:D44))*$F$10/365*(C45-C44)</f>
        <v>20066.050091826095</v>
      </c>
      <c r="G45" s="200">
        <f t="shared" ca="1" si="4"/>
        <v>36736.499781964689</v>
      </c>
      <c r="H45" s="201"/>
      <c r="I45" s="3"/>
      <c r="K45" s="138"/>
      <c r="L45" s="138"/>
      <c r="M45" s="138"/>
      <c r="N45" s="138"/>
      <c r="O45" s="138"/>
      <c r="P45" s="138"/>
      <c r="Q45" s="138"/>
      <c r="R45" s="138"/>
      <c r="S45" s="138"/>
      <c r="AA45" s="68"/>
    </row>
    <row r="46" spans="1:45" x14ac:dyDescent="0.25">
      <c r="A46" s="1">
        <v>10</v>
      </c>
      <c r="B46" s="124">
        <v>10</v>
      </c>
      <c r="C46" s="128">
        <f t="shared" ca="1" si="5"/>
        <v>45661</v>
      </c>
      <c r="D46" s="30">
        <f ca="1">IF(B46&lt;$F$16,$G$19-E46-F46,IF(B46=$F$16,$E$18-SUM($D$36:D45),0))</f>
        <v>16875.158589972554</v>
      </c>
      <c r="E46" s="31">
        <f>IF(B46&lt;=$F$16,(E$18*(VLOOKUP($H$2,Лист2!$A:$N,12,0)-(B46-1)*VLOOKUP($H$2,Лист2!$A:$N,13,0))),0)</f>
        <v>0</v>
      </c>
      <c r="F46" s="31">
        <f ca="1">($E$18-SUM($D$36:D45))*$F$10/365*(C46-C45)</f>
        <v>19861.341191992135</v>
      </c>
      <c r="G46" s="200">
        <f t="shared" ca="1" si="4"/>
        <v>36736.499781964689</v>
      </c>
      <c r="H46" s="201"/>
      <c r="I46" s="3"/>
      <c r="K46" s="138"/>
      <c r="L46" s="138"/>
      <c r="M46" s="138"/>
      <c r="N46" s="138"/>
      <c r="O46" s="138"/>
      <c r="P46" s="138"/>
      <c r="Q46" s="138"/>
      <c r="R46" s="138"/>
      <c r="S46" s="138"/>
      <c r="AA46" s="68"/>
    </row>
    <row r="47" spans="1:45" x14ac:dyDescent="0.25">
      <c r="A47" s="1">
        <v>22</v>
      </c>
      <c r="B47" s="124">
        <v>11</v>
      </c>
      <c r="C47" s="128">
        <f t="shared" ca="1" si="5"/>
        <v>45692</v>
      </c>
      <c r="D47" s="30">
        <f ca="1">IF(B47&lt;$F$16,$G$19-E47-F47,IF(B47=$F$16,$E$18-SUM($D$36:D46),0))</f>
        <v>17759.463133398323</v>
      </c>
      <c r="E47" s="31">
        <f>IF(B47&lt;=$F$16,(E$18*(VLOOKUP($H$2,Лист2!$A:$N,12,0)-(B47-1)*VLOOKUP($H$2,Лист2!$A:$N,13,0))),0)</f>
        <v>0</v>
      </c>
      <c r="F47" s="31">
        <f ca="1">($E$18-SUM($D$36:D46))*$F$10/365*(C47-C46)</f>
        <v>18977.036648566365</v>
      </c>
      <c r="G47" s="200">
        <f t="shared" ca="1" si="4"/>
        <v>36736.499781964689</v>
      </c>
      <c r="H47" s="201"/>
      <c r="I47" s="3"/>
      <c r="K47" s="138"/>
      <c r="L47" s="138"/>
      <c r="M47" s="138"/>
      <c r="N47" s="138"/>
      <c r="O47" s="138"/>
      <c r="P47" s="138"/>
      <c r="Q47" s="138"/>
      <c r="R47" s="138"/>
      <c r="S47" s="138"/>
      <c r="AA47" s="68"/>
    </row>
    <row r="48" spans="1:45" x14ac:dyDescent="0.25">
      <c r="A48" s="1">
        <v>22</v>
      </c>
      <c r="B48" s="124">
        <v>12</v>
      </c>
      <c r="C48" s="128">
        <f t="shared" ca="1" si="5"/>
        <v>45720</v>
      </c>
      <c r="D48" s="30">
        <f ca="1">IF(B48&lt;$F$16,$G$19-E48-F48,IF(B48=$F$16,$E$18-SUM($D$36:D47),0))</f>
        <v>20436.532701940123</v>
      </c>
      <c r="E48" s="31">
        <f>IF(B48&lt;=$F$16,(E$18*(VLOOKUP($H$2,Лист2!$A:$N,12,0)-(B48-1)*VLOOKUP($H$2,Лист2!$A:$N,13,0))),0)</f>
        <v>0</v>
      </c>
      <c r="F48" s="31">
        <f ca="1">($E$18-SUM($D$36:D47))*$F$10/365*(C48-C47)</f>
        <v>16299.967080024566</v>
      </c>
      <c r="G48" s="200">
        <f t="shared" ca="1" si="4"/>
        <v>36736.499781964689</v>
      </c>
      <c r="H48" s="201"/>
      <c r="I48" s="3"/>
      <c r="K48" s="138"/>
      <c r="L48" s="138"/>
      <c r="M48" s="138"/>
      <c r="N48" s="138"/>
      <c r="O48" s="138"/>
      <c r="P48" s="138"/>
      <c r="Q48" s="138"/>
      <c r="R48" s="138"/>
      <c r="S48" s="138"/>
      <c r="AA48" s="68"/>
    </row>
    <row r="49" spans="1:27" x14ac:dyDescent="0.25">
      <c r="A49" s="1">
        <v>13</v>
      </c>
      <c r="B49" s="124">
        <v>13</v>
      </c>
      <c r="C49" s="128">
        <f t="shared" ca="1" si="5"/>
        <v>45751</v>
      </c>
      <c r="D49" s="30">
        <f ca="1">IF(B49&lt;$F$16,$G$19-E49-F49,IF(B49=$F$16,$E$18-SUM($D$36:D48),0))</f>
        <v>19761.037961733986</v>
      </c>
      <c r="E49" s="31">
        <f>IF(B49&lt;=$F$16,(E$18*(VLOOKUP($H$2,Лист2!$A:$N,12,0)-(B49-1)*VLOOKUP($H$2,Лист2!$A:$N,13,0))),0)</f>
        <v>0</v>
      </c>
      <c r="F49" s="31">
        <f ca="1">($E$18-SUM($D$36:D48))*$F$10/365*(C49-C48)</f>
        <v>16975.461820230703</v>
      </c>
      <c r="G49" s="200">
        <f t="shared" ref="G49:G66" ca="1" si="6">D49+E49+F49</f>
        <v>36736.499781964689</v>
      </c>
      <c r="H49" s="201"/>
      <c r="I49" s="3"/>
      <c r="K49" s="138"/>
      <c r="L49" s="138"/>
      <c r="M49" s="138"/>
      <c r="N49" s="138"/>
      <c r="O49" s="138"/>
      <c r="P49" s="138"/>
      <c r="Q49" s="138"/>
      <c r="R49" s="138"/>
      <c r="S49" s="138"/>
      <c r="AA49" s="68"/>
    </row>
    <row r="50" spans="1:27" x14ac:dyDescent="0.25">
      <c r="A50" s="1">
        <v>14</v>
      </c>
      <c r="B50" s="124">
        <v>14</v>
      </c>
      <c r="C50" s="128">
        <f t="shared" ca="1" si="5"/>
        <v>45781</v>
      </c>
      <c r="D50" s="30">
        <f ca="1">IF(B50&lt;$F$16,$G$19-E50-F50,IF(B50=$F$16,$E$18-SUM($D$36:D49),0))</f>
        <v>21310.761758217137</v>
      </c>
      <c r="E50" s="31">
        <f>IF(B50&lt;=$F$16,(E$18*(VLOOKUP($H$2,Лист2!$A:$N,12,0)-(B50-1)*VLOOKUP($H$2,Лист2!$A:$N,13,0))),0)</f>
        <v>0</v>
      </c>
      <c r="F50" s="31">
        <f ca="1">($E$18-SUM($D$36:D49))*$F$10/365*(C50-C49)</f>
        <v>15425.738023747554</v>
      </c>
      <c r="G50" s="200">
        <f t="shared" ca="1" si="6"/>
        <v>36736.499781964689</v>
      </c>
      <c r="H50" s="201"/>
      <c r="I50" s="3"/>
      <c r="K50" s="138"/>
      <c r="L50" s="138"/>
      <c r="M50" s="138"/>
      <c r="N50" s="138"/>
      <c r="O50" s="138"/>
      <c r="P50" s="138"/>
      <c r="Q50" s="138"/>
      <c r="R50" s="138"/>
      <c r="S50" s="138"/>
      <c r="AA50" s="68"/>
    </row>
    <row r="51" spans="1:27" x14ac:dyDescent="0.25">
      <c r="A51" s="1">
        <v>15</v>
      </c>
      <c r="B51" s="124">
        <v>15</v>
      </c>
      <c r="C51" s="128">
        <f t="shared" ca="1" si="5"/>
        <v>45812</v>
      </c>
      <c r="D51" s="30">
        <f ca="1">IF(B51&lt;$F$16,$G$19-E51-F51,IF(B51=$F$16,$E$18-SUM($D$36:D50),0))</f>
        <v>21913.312792538116</v>
      </c>
      <c r="E51" s="31">
        <f>IF(B51&lt;=$F$16,(E$18*(VLOOKUP($H$2,Лист2!$A:$N,12,0)-(B51-1)*VLOOKUP($H$2,Лист2!$A:$N,13,0))),0)</f>
        <v>0</v>
      </c>
      <c r="F51" s="31">
        <f ca="1">($E$18-SUM($D$36:D50))*$F$10/365*(C51-C50)</f>
        <v>14823.186989426573</v>
      </c>
      <c r="G51" s="200">
        <f t="shared" ca="1" si="6"/>
        <v>36736.499781964689</v>
      </c>
      <c r="H51" s="201"/>
      <c r="I51" s="3"/>
      <c r="K51" s="138"/>
      <c r="L51" s="138"/>
      <c r="M51" s="138"/>
      <c r="N51" s="138"/>
      <c r="O51" s="138"/>
      <c r="P51" s="138"/>
      <c r="Q51" s="138"/>
      <c r="R51" s="138"/>
      <c r="S51" s="138"/>
    </row>
    <row r="52" spans="1:27" x14ac:dyDescent="0.25">
      <c r="A52" s="1">
        <v>16</v>
      </c>
      <c r="B52" s="124">
        <v>16</v>
      </c>
      <c r="C52" s="128">
        <f t="shared" ca="1" si="5"/>
        <v>45842</v>
      </c>
      <c r="D52" s="30">
        <f ca="1">IF(B52&lt;$F$16,$G$19-E52-F52,IF(B52=$F$16,$E$18-SUM($D$36:D51),0))</f>
        <v>23502.755237489684</v>
      </c>
      <c r="E52" s="31">
        <f>IF(B52&lt;=$F$16,(E$18*(VLOOKUP($H$2,Лист2!$A:$N,12,0)-(B52-1)*VLOOKUP($H$2,Лист2!$A:$N,13,0))),0)</f>
        <v>0</v>
      </c>
      <c r="F52" s="31">
        <f ca="1">($E$18-SUM($D$36:D51))*$F$10/365*(C52-C51)</f>
        <v>13233.744544475006</v>
      </c>
      <c r="G52" s="200">
        <f t="shared" ca="1" si="6"/>
        <v>36736.499781964689</v>
      </c>
      <c r="H52" s="201"/>
      <c r="I52" s="3"/>
      <c r="K52" s="138"/>
      <c r="L52" s="138"/>
      <c r="M52" s="138"/>
      <c r="N52" s="138"/>
      <c r="O52" s="138"/>
      <c r="P52" s="138"/>
      <c r="Q52" s="138"/>
      <c r="R52" s="138"/>
      <c r="S52" s="138"/>
    </row>
    <row r="53" spans="1:27" x14ac:dyDescent="0.25">
      <c r="A53" s="1">
        <v>22</v>
      </c>
      <c r="B53" s="124">
        <v>17</v>
      </c>
      <c r="C53" s="128">
        <f t="shared" ca="1" si="5"/>
        <v>45873</v>
      </c>
      <c r="D53" s="30">
        <f ca="1">IF(B53&lt;$F$16,$G$19-E53-F53,IF(B53=$F$16,$E$18-SUM($D$36:D52),0))</f>
        <v>24293.239184895214</v>
      </c>
      <c r="E53" s="31">
        <f>IF(B53&lt;=$F$16,(E$18*(VLOOKUP($H$2,Лист2!$A:$N,12,0)-(B53-1)*VLOOKUP($H$2,Лист2!$A:$N,13,0))),0)</f>
        <v>0</v>
      </c>
      <c r="F53" s="31">
        <f ca="1">($E$18-SUM($D$36:D52))*$F$10/365*(C53-C52)</f>
        <v>12443.260597069475</v>
      </c>
      <c r="G53" s="200">
        <f t="shared" ca="1" si="6"/>
        <v>36736.499781964689</v>
      </c>
      <c r="H53" s="201"/>
      <c r="I53" s="3"/>
      <c r="K53" s="138"/>
      <c r="L53" s="138"/>
      <c r="M53" s="138"/>
      <c r="N53" s="138"/>
      <c r="O53" s="138"/>
      <c r="P53" s="138"/>
      <c r="Q53" s="138"/>
      <c r="R53" s="138"/>
      <c r="S53" s="138"/>
    </row>
    <row r="54" spans="1:27" x14ac:dyDescent="0.25">
      <c r="A54" s="1">
        <v>22</v>
      </c>
      <c r="B54" s="124">
        <v>18</v>
      </c>
      <c r="C54" s="128">
        <f t="shared" ca="1" si="5"/>
        <v>45904</v>
      </c>
      <c r="D54" s="30">
        <f ca="1">IF(B54&lt;$F$16,$G$19-E54-F54,IF(B54=$F$16,$E$18-SUM($D$36:D53),0))</f>
        <v>25566.27147500341</v>
      </c>
      <c r="E54" s="31">
        <f>IF(B54&lt;=$F$16,(E$18*(VLOOKUP($H$2,Лист2!$A:$N,12,0)-(B54-1)*VLOOKUP($H$2,Лист2!$A:$N,13,0))),0)</f>
        <v>0</v>
      </c>
      <c r="F54" s="31">
        <f ca="1">($E$18-SUM($D$36:D53))*$F$10/365*(C54-C53)</f>
        <v>11170.228306961279</v>
      </c>
      <c r="G54" s="200">
        <f t="shared" ca="1" si="6"/>
        <v>36736.499781964689</v>
      </c>
      <c r="H54" s="201"/>
      <c r="I54" s="3"/>
      <c r="K54" s="138"/>
      <c r="L54" s="138"/>
      <c r="M54" s="138"/>
      <c r="N54" s="138"/>
      <c r="O54" s="138"/>
      <c r="P54" s="138"/>
      <c r="Q54" s="138"/>
      <c r="R54" s="138"/>
      <c r="S54" s="138"/>
    </row>
    <row r="55" spans="1:27" x14ac:dyDescent="0.25">
      <c r="A55" s="1">
        <v>19</v>
      </c>
      <c r="B55" s="124">
        <v>19</v>
      </c>
      <c r="C55" s="128">
        <f t="shared" ca="1" si="5"/>
        <v>45934</v>
      </c>
      <c r="D55" s="30">
        <f ca="1">IF(B55&lt;$F$16,$G$19-E55-F55,IF(B55=$F$16,$E$18-SUM($D$36:D54),0))</f>
        <v>27223.126584779158</v>
      </c>
      <c r="E55" s="31">
        <f>IF(B55&lt;=$F$16,(E$18*(VLOOKUP($H$2,Лист2!$A:$N,12,0)-(B55-1)*VLOOKUP($H$2,Лист2!$A:$N,13,0))),0)</f>
        <v>0</v>
      </c>
      <c r="F55" s="31">
        <f ca="1">($E$18-SUM($D$36:D54))*$F$10/365*(C55-C54)</f>
        <v>9513.3731971855323</v>
      </c>
      <c r="G55" s="200">
        <f t="shared" ca="1" si="6"/>
        <v>36736.499781964689</v>
      </c>
      <c r="H55" s="201"/>
      <c r="I55" s="3"/>
      <c r="K55" s="138"/>
      <c r="L55" s="138"/>
      <c r="M55" s="138"/>
      <c r="N55" s="138"/>
      <c r="O55" s="138"/>
      <c r="P55" s="138"/>
      <c r="Q55" s="138"/>
      <c r="R55" s="138"/>
      <c r="S55" s="138"/>
    </row>
    <row r="56" spans="1:27" x14ac:dyDescent="0.25">
      <c r="A56" s="1">
        <v>20</v>
      </c>
      <c r="B56" s="124">
        <v>20</v>
      </c>
      <c r="C56" s="128">
        <f t="shared" ca="1" si="5"/>
        <v>45965</v>
      </c>
      <c r="D56" s="30">
        <f ca="1">IF(B56&lt;$F$16,$G$19-E56-F56,IF(B56=$F$16,$E$18-SUM($D$36:D55),0))</f>
        <v>28332.580561823852</v>
      </c>
      <c r="E56" s="31">
        <f>IF(B56&lt;=$F$16,(E$18*(VLOOKUP($H$2,Лист2!$A:$N,12,0)-(B56-1)*VLOOKUP($H$2,Лист2!$A:$N,13,0))),0)</f>
        <v>0</v>
      </c>
      <c r="F56" s="31">
        <f ca="1">($E$18-SUM($D$36:D55))*$F$10/365*(C56-C55)</f>
        <v>8403.9192201408368</v>
      </c>
      <c r="G56" s="200">
        <f t="shared" ca="1" si="6"/>
        <v>36736.499781964689</v>
      </c>
      <c r="H56" s="201"/>
      <c r="I56" s="3"/>
      <c r="K56" s="138"/>
      <c r="L56" s="138"/>
      <c r="M56" s="138"/>
      <c r="N56" s="138"/>
      <c r="O56" s="138"/>
      <c r="P56" s="138"/>
      <c r="Q56" s="138"/>
      <c r="R56" s="138"/>
      <c r="S56" s="138"/>
    </row>
    <row r="57" spans="1:27" x14ac:dyDescent="0.25">
      <c r="A57" s="60">
        <v>21</v>
      </c>
      <c r="B57" s="124">
        <v>21</v>
      </c>
      <c r="C57" s="128">
        <f t="shared" ca="1" si="5"/>
        <v>45995</v>
      </c>
      <c r="D57" s="30">
        <f ca="1">IF(B57&lt;$F$16,$G$19-E57-F57,IF(B57=$F$16,$E$18-SUM($D$36:D56),0))</f>
        <v>30040.485870487712</v>
      </c>
      <c r="E57" s="31">
        <f>IF(B57&lt;=$F$16,(E$18*(VLOOKUP($H$2,Лист2!$A:$N,12,0)-(B57-1)*VLOOKUP($H$2,Лист2!$A:$N,13,0))),0)</f>
        <v>0</v>
      </c>
      <c r="F57" s="31">
        <f ca="1">($E$18-SUM($D$36:D56))*$F$10/365*(C57-C56)</f>
        <v>6696.013911476979</v>
      </c>
      <c r="G57" s="200">
        <f t="shared" ca="1" si="6"/>
        <v>36736.499781964689</v>
      </c>
      <c r="H57" s="201"/>
      <c r="I57" s="3"/>
      <c r="K57" s="138"/>
      <c r="L57" s="138"/>
      <c r="M57" s="138"/>
      <c r="N57" s="138"/>
      <c r="O57" s="138"/>
      <c r="P57" s="138"/>
      <c r="Q57" s="138"/>
      <c r="R57" s="138"/>
      <c r="S57" s="138"/>
    </row>
    <row r="58" spans="1:27" x14ac:dyDescent="0.25">
      <c r="A58" s="60">
        <v>22</v>
      </c>
      <c r="B58" s="124">
        <v>22</v>
      </c>
      <c r="C58" s="128">
        <f t="shared" ca="1" si="5"/>
        <v>46026</v>
      </c>
      <c r="D58" s="30">
        <f ca="1">IF(B58&lt;$F$16,$G$19-E58-F58,IF(B58=$F$16,$E$18-SUM($D$36:D57),0))</f>
        <v>31391.489169086381</v>
      </c>
      <c r="E58" s="31">
        <f>IF(B58&lt;=$F$16,(E$18*(VLOOKUP($H$2,Лист2!$A:$N,12,0)-(B58-1)*VLOOKUP($H$2,Лист2!$A:$N,13,0))),0)</f>
        <v>0</v>
      </c>
      <c r="F58" s="31">
        <f ca="1">($E$18-SUM($D$36:D57))*$F$10/365*(C58-C57)</f>
        <v>5345.0106128783073</v>
      </c>
      <c r="G58" s="200">
        <f t="shared" ca="1" si="6"/>
        <v>36736.499781964689</v>
      </c>
      <c r="H58" s="201"/>
      <c r="I58" s="3"/>
      <c r="K58" s="138"/>
      <c r="L58" s="138"/>
      <c r="M58" s="138"/>
      <c r="N58" s="138"/>
      <c r="O58" s="138"/>
      <c r="P58" s="138"/>
      <c r="Q58" s="138"/>
      <c r="R58" s="138"/>
      <c r="S58" s="138"/>
    </row>
    <row r="59" spans="1:27" x14ac:dyDescent="0.25">
      <c r="A59" s="60">
        <v>25</v>
      </c>
      <c r="B59" s="124">
        <v>23</v>
      </c>
      <c r="C59" s="128">
        <f t="shared" ca="1" si="5"/>
        <v>46057</v>
      </c>
      <c r="D59" s="30">
        <f ca="1">IF(B59&lt;$F$16,$G$19-E59-F59,IF(B59=$F$16,$E$18-SUM($D$36:D58),0))</f>
        <v>33036.489205626422</v>
      </c>
      <c r="E59" s="31">
        <f>IF(B59&lt;=$F$16,(E$18*(VLOOKUP($H$2,Лист2!$A:$N,12,0)-(B59-1)*VLOOKUP($H$2,Лист2!$A:$N,13,0))),0)</f>
        <v>0</v>
      </c>
      <c r="F59" s="31">
        <f ca="1">($E$18-SUM($D$36:D58))*$F$10/365*(C59-C58)</f>
        <v>3700.0105763382653</v>
      </c>
      <c r="G59" s="200">
        <f t="shared" ca="1" si="6"/>
        <v>36736.499781964689</v>
      </c>
      <c r="H59" s="201"/>
      <c r="I59" s="3"/>
      <c r="K59" s="138"/>
      <c r="L59" s="138"/>
      <c r="M59" s="138"/>
      <c r="N59" s="138"/>
      <c r="O59" s="138"/>
      <c r="P59" s="138"/>
      <c r="Q59" s="138"/>
      <c r="R59" s="138"/>
      <c r="S59" s="138"/>
    </row>
    <row r="60" spans="1:27" x14ac:dyDescent="0.25">
      <c r="A60" s="60"/>
      <c r="B60" s="124">
        <v>24</v>
      </c>
      <c r="C60" s="128">
        <f t="shared" ca="1" si="5"/>
        <v>46085</v>
      </c>
      <c r="D60" s="30">
        <f ca="1">IF(B60&lt;$F$16,$G$19-E60-F60,IF(B60=$F$16,$E$18-SUM($D$36:D59),0))</f>
        <v>37570.707969229377</v>
      </c>
      <c r="E60" s="31">
        <f>IF(B60&lt;=$F$16,(E$18*(VLOOKUP($H$2,Лист2!$A:$N,12,0)-(B60-1)*VLOOKUP($H$2,Лист2!$A:$N,13,0))),0)</f>
        <v>0</v>
      </c>
      <c r="F60" s="31">
        <f ca="1">($E$18-SUM($D$36:D59))*$F$10/365*(C60-C59)</f>
        <v>1778.2782215791965</v>
      </c>
      <c r="G60" s="200">
        <f t="shared" ca="1" si="6"/>
        <v>39348.986190808573</v>
      </c>
      <c r="H60" s="201"/>
      <c r="I60" s="3"/>
      <c r="K60" s="138"/>
      <c r="L60" s="138"/>
      <c r="M60" s="138"/>
      <c r="N60" s="138"/>
      <c r="O60" s="138"/>
      <c r="P60" s="138"/>
      <c r="Q60" s="138"/>
      <c r="R60" s="138"/>
      <c r="S60" s="138"/>
    </row>
    <row r="61" spans="1:27" x14ac:dyDescent="0.25">
      <c r="A61" s="60"/>
      <c r="B61" s="124">
        <v>25</v>
      </c>
      <c r="C61" s="128">
        <f t="shared" ca="1" si="5"/>
        <v>46116</v>
      </c>
      <c r="D61" s="30">
        <f>IF(B61&lt;$F$16,$G$19-E61-F61,IF(B61=$F$16,$E$18-SUM($D$36:D60),0))</f>
        <v>0</v>
      </c>
      <c r="E61" s="31">
        <f>IF(B61&lt;=$F$16,(E$18*(VLOOKUP($H$2,Лист2!$A:$N,12,0)-(B61-1)*VLOOKUP($H$2,Лист2!$A:$N,13,0))),0)</f>
        <v>0</v>
      </c>
      <c r="F61" s="31">
        <f ca="1">($E$18-SUM($D$36:D60))*$F$10/365*(C61-C60)</f>
        <v>0</v>
      </c>
      <c r="G61" s="200">
        <f t="shared" ca="1" si="6"/>
        <v>0</v>
      </c>
      <c r="H61" s="201"/>
      <c r="I61" s="3"/>
      <c r="K61" s="138"/>
      <c r="L61" s="138"/>
      <c r="M61" s="138"/>
      <c r="N61" s="138"/>
      <c r="O61" s="138"/>
      <c r="P61" s="138"/>
      <c r="Q61" s="138"/>
      <c r="R61" s="138"/>
      <c r="S61" s="138"/>
    </row>
    <row r="62" spans="1:27" x14ac:dyDescent="0.25">
      <c r="A62" s="60"/>
      <c r="B62" s="124">
        <v>26</v>
      </c>
      <c r="C62" s="128">
        <f t="shared" ca="1" si="5"/>
        <v>46146</v>
      </c>
      <c r="D62" s="30">
        <f>IF(B62&lt;$F$16,$G$19-E62-F62,IF(B62=$F$16,$E$18-SUM($D$36:D61),0))</f>
        <v>0</v>
      </c>
      <c r="E62" s="31">
        <f>IF(B62&lt;=$F$16,(E$18*(VLOOKUP($H$2,Лист2!$A:$N,12,0)-(B62-1)*VLOOKUP($H$2,Лист2!$A:$N,13,0))),0)</f>
        <v>0</v>
      </c>
      <c r="F62" s="31">
        <f ca="1">($E$18-SUM($D$36:D61))*$F$10/365*(C62-C61)</f>
        <v>0</v>
      </c>
      <c r="G62" s="200">
        <f t="shared" ca="1" si="6"/>
        <v>0</v>
      </c>
      <c r="H62" s="201"/>
      <c r="I62" s="3"/>
      <c r="K62" s="138"/>
      <c r="L62" s="138"/>
      <c r="M62" s="138"/>
      <c r="N62" s="138"/>
      <c r="O62" s="138"/>
      <c r="P62" s="138"/>
      <c r="Q62" s="138"/>
      <c r="R62" s="138"/>
      <c r="S62" s="138"/>
    </row>
    <row r="63" spans="1:27" x14ac:dyDescent="0.25">
      <c r="A63" s="60"/>
      <c r="B63" s="124">
        <v>27</v>
      </c>
      <c r="C63" s="128">
        <f t="shared" ca="1" si="5"/>
        <v>46177</v>
      </c>
      <c r="D63" s="30">
        <f>IF(B63&lt;$F$16,$G$19-E63-F63,IF(B63=$F$16,$E$18-SUM($D$36:D62),0))</f>
        <v>0</v>
      </c>
      <c r="E63" s="31">
        <f>IF(B63&lt;=$F$16,(E$18*(VLOOKUP($H$2,Лист2!$A:$N,12,0)-(B63-1)*VLOOKUP($H$2,Лист2!$A:$N,13,0))),0)</f>
        <v>0</v>
      </c>
      <c r="F63" s="31">
        <f ca="1">($E$18-SUM($D$36:D62))*$F$10/365*(C63-C62)</f>
        <v>0</v>
      </c>
      <c r="G63" s="200">
        <f t="shared" ca="1" si="6"/>
        <v>0</v>
      </c>
      <c r="H63" s="201"/>
      <c r="I63" s="3"/>
      <c r="K63" s="138"/>
      <c r="L63" s="138"/>
      <c r="M63" s="138"/>
      <c r="N63" s="138"/>
      <c r="O63" s="138"/>
      <c r="P63" s="138"/>
      <c r="Q63" s="138"/>
      <c r="R63" s="138"/>
      <c r="S63" s="138"/>
    </row>
    <row r="64" spans="1:27" x14ac:dyDescent="0.25">
      <c r="A64" s="60"/>
      <c r="B64" s="124">
        <v>28</v>
      </c>
      <c r="C64" s="128">
        <f t="shared" ca="1" si="5"/>
        <v>46207</v>
      </c>
      <c r="D64" s="30">
        <f>IF(B64&lt;$F$16,$G$19-E64-F64,IF(B64=$F$16,$E$18-SUM($D$36:D63),0))</f>
        <v>0</v>
      </c>
      <c r="E64" s="31">
        <f>IF(B64&lt;=$F$16,(E$18*(VLOOKUP($H$2,Лист2!$A:$N,12,0)-(B64-1)*VLOOKUP($H$2,Лист2!$A:$N,13,0))),0)</f>
        <v>0</v>
      </c>
      <c r="F64" s="31">
        <f ca="1">($E$18-SUM($D$36:D63))*$F$10/365*(C64-C63)</f>
        <v>0</v>
      </c>
      <c r="G64" s="200">
        <f t="shared" ca="1" si="6"/>
        <v>0</v>
      </c>
      <c r="H64" s="201"/>
      <c r="I64" s="3"/>
      <c r="K64" s="138"/>
      <c r="L64" s="138"/>
      <c r="M64" s="138"/>
      <c r="N64" s="138"/>
      <c r="O64" s="138"/>
      <c r="P64" s="138"/>
      <c r="Q64" s="138"/>
      <c r="R64" s="138"/>
      <c r="S64" s="138"/>
    </row>
    <row r="65" spans="1:19" x14ac:dyDescent="0.25">
      <c r="A65" s="60"/>
      <c r="B65" s="124">
        <v>29</v>
      </c>
      <c r="C65" s="128">
        <f t="shared" ca="1" si="5"/>
        <v>46238</v>
      </c>
      <c r="D65" s="30">
        <f>IF(B65&lt;$F$16,$G$19-E65-F65,IF(B65=$F$16,$E$18-SUM($D$36:D64),0))</f>
        <v>0</v>
      </c>
      <c r="E65" s="31">
        <f>IF(B65&lt;=$F$16,(E$18*(VLOOKUP($H$2,Лист2!$A:$N,12,0)-(B65-1)*VLOOKUP($H$2,Лист2!$A:$N,13,0))),0)</f>
        <v>0</v>
      </c>
      <c r="F65" s="31">
        <f ca="1">($E$18-SUM($D$36:D64))*$F$10/365*(C65-C64)</f>
        <v>0</v>
      </c>
      <c r="G65" s="200">
        <f t="shared" ca="1" si="6"/>
        <v>0</v>
      </c>
      <c r="H65" s="201"/>
      <c r="I65" s="3"/>
      <c r="K65" s="138"/>
      <c r="L65" s="138"/>
      <c r="M65" s="138"/>
      <c r="N65" s="138"/>
      <c r="O65" s="138"/>
      <c r="P65" s="138"/>
      <c r="Q65" s="138"/>
      <c r="R65" s="138"/>
      <c r="S65" s="138"/>
    </row>
    <row r="66" spans="1:19" x14ac:dyDescent="0.25">
      <c r="A66" s="60">
        <v>25</v>
      </c>
      <c r="B66" s="124">
        <v>30</v>
      </c>
      <c r="C66" s="128">
        <f t="shared" ca="1" si="5"/>
        <v>46269</v>
      </c>
      <c r="D66" s="30">
        <f>IF(B66&lt;$F$16,$G$19-E66-F66,IF(B66=$F$16,$E$18-SUM($D$36:D65),0))</f>
        <v>0</v>
      </c>
      <c r="E66" s="31">
        <f>IF(B66&lt;=$F$16,(E$18*(VLOOKUP($H$2,Лист2!$A:$N,12,0)-(B66-1)*VLOOKUP($H$2,Лист2!$A:$N,13,0))),0)</f>
        <v>0</v>
      </c>
      <c r="F66" s="31">
        <f ca="1">($E$18-SUM($D$36:D65))*$F$10/365*(C66-C65)</f>
        <v>0</v>
      </c>
      <c r="G66" s="200">
        <f t="shared" ca="1" si="6"/>
        <v>0</v>
      </c>
      <c r="H66" s="201"/>
      <c r="I66" s="130"/>
      <c r="J66" s="130"/>
      <c r="K66" s="138"/>
      <c r="L66" s="138"/>
      <c r="M66" s="138"/>
      <c r="N66" s="138"/>
      <c r="O66" s="138"/>
      <c r="P66" s="138"/>
      <c r="Q66" s="138"/>
      <c r="R66" s="138"/>
      <c r="S66" s="138"/>
    </row>
    <row r="67" spans="1:19" x14ac:dyDescent="0.25">
      <c r="A67" s="60"/>
      <c r="B67" s="124">
        <v>31</v>
      </c>
      <c r="C67" s="128">
        <f t="shared" ca="1" si="5"/>
        <v>46299</v>
      </c>
      <c r="D67" s="30">
        <f>IF(B67&lt;$F$16,$G$19-E67-F67,IF(B67=$F$16,$E$18-SUM($D$36:D66),0))</f>
        <v>0</v>
      </c>
      <c r="E67" s="31">
        <f>IF(B67&lt;=$F$16,(E$18*(VLOOKUP($H$2,Лист2!$A:$N,12,0)-(B67-1)*VLOOKUP($H$2,Лист2!$A:$N,13,0))),0)</f>
        <v>0</v>
      </c>
      <c r="F67" s="31">
        <f ca="1">($E$18-SUM($D$36:D66))*$F$10/365*(C67-C66)</f>
        <v>0</v>
      </c>
      <c r="G67" s="200">
        <f t="shared" ref="G67:G72" ca="1" si="7">D67+E67+F67</f>
        <v>0</v>
      </c>
      <c r="H67" s="201"/>
      <c r="I67" s="130"/>
      <c r="J67" s="130"/>
      <c r="K67" s="138"/>
      <c r="L67" s="138"/>
      <c r="M67" s="138"/>
      <c r="N67" s="138"/>
      <c r="O67" s="138"/>
      <c r="P67" s="138"/>
      <c r="Q67" s="138"/>
      <c r="R67" s="138"/>
      <c r="S67" s="138"/>
    </row>
    <row r="68" spans="1:19" x14ac:dyDescent="0.25">
      <c r="A68" s="60"/>
      <c r="B68" s="124">
        <v>32</v>
      </c>
      <c r="C68" s="128">
        <f t="shared" ca="1" si="5"/>
        <v>46330</v>
      </c>
      <c r="D68" s="30">
        <f>IF(B68&lt;$F$16,$G$19-E68-F68,IF(B68=$F$16,$E$18-SUM($D$36:D67),0))</f>
        <v>0</v>
      </c>
      <c r="E68" s="31">
        <f>IF(B68&lt;=$F$16,(E$18*(VLOOKUP($H$2,Лист2!$A:$N,12,0)-(B68-1)*VLOOKUP($H$2,Лист2!$A:$N,13,0))),0)</f>
        <v>0</v>
      </c>
      <c r="F68" s="31">
        <f ca="1">($E$18-SUM($D$36:D67))*$F$10/365*(C68-C67)</f>
        <v>0</v>
      </c>
      <c r="G68" s="200">
        <f t="shared" ca="1" si="7"/>
        <v>0</v>
      </c>
      <c r="H68" s="201"/>
      <c r="I68" s="130"/>
      <c r="J68" s="130"/>
      <c r="K68" s="138"/>
      <c r="L68" s="138"/>
      <c r="M68" s="138"/>
      <c r="N68" s="138"/>
      <c r="O68" s="138"/>
      <c r="P68" s="138"/>
      <c r="Q68" s="138"/>
      <c r="R68" s="138"/>
      <c r="S68" s="138"/>
    </row>
    <row r="69" spans="1:19" x14ac:dyDescent="0.25">
      <c r="A69" s="60"/>
      <c r="B69" s="124">
        <v>33</v>
      </c>
      <c r="C69" s="128">
        <f t="shared" ca="1" si="5"/>
        <v>46360</v>
      </c>
      <c r="D69" s="30">
        <f>IF(B69&lt;$F$16,$G$19-E69-F69,IF(B69=$F$16,$E$18-SUM($D$36:D68),0))</f>
        <v>0</v>
      </c>
      <c r="E69" s="31">
        <f>IF(B69&lt;=$F$16,(E$18*(VLOOKUP($H$2,Лист2!$A:$N,12,0)-(B69-1)*VLOOKUP($H$2,Лист2!$A:$N,13,0))),0)</f>
        <v>0</v>
      </c>
      <c r="F69" s="31">
        <f ca="1">($E$18-SUM($D$36:D68))*$F$10/365*(C69-C68)</f>
        <v>0</v>
      </c>
      <c r="G69" s="200">
        <f t="shared" ca="1" si="7"/>
        <v>0</v>
      </c>
      <c r="H69" s="201"/>
      <c r="I69" s="130"/>
      <c r="J69" s="130"/>
      <c r="K69" s="138"/>
      <c r="L69" s="138"/>
      <c r="M69" s="138"/>
      <c r="N69" s="138"/>
      <c r="O69" s="138"/>
      <c r="P69" s="138"/>
      <c r="Q69" s="138"/>
      <c r="R69" s="138"/>
      <c r="S69" s="138"/>
    </row>
    <row r="70" spans="1:19" x14ac:dyDescent="0.25">
      <c r="A70" s="60"/>
      <c r="B70" s="124">
        <v>34</v>
      </c>
      <c r="C70" s="128">
        <f t="shared" ca="1" si="5"/>
        <v>46391</v>
      </c>
      <c r="D70" s="30">
        <f>IF(B70&lt;$F$16,$G$19-E70-F70,IF(B70=$F$16,$E$18-SUM($D$36:D69),0))</f>
        <v>0</v>
      </c>
      <c r="E70" s="31">
        <f>IF(B70&lt;=$F$16,(E$18*(VLOOKUP($H$2,Лист2!$A:$N,12,0)-(B70-1)*VLOOKUP($H$2,Лист2!$A:$N,13,0))),0)</f>
        <v>0</v>
      </c>
      <c r="F70" s="31">
        <f ca="1">($E$18-SUM($D$36:D69))*$F$10/365*(C70-C69)</f>
        <v>0</v>
      </c>
      <c r="G70" s="200">
        <f t="shared" ca="1" si="7"/>
        <v>0</v>
      </c>
      <c r="H70" s="201"/>
      <c r="I70" s="130"/>
      <c r="J70" s="130"/>
      <c r="K70" s="138"/>
      <c r="L70" s="138"/>
      <c r="M70" s="138"/>
      <c r="N70" s="138"/>
      <c r="O70" s="138"/>
      <c r="P70" s="138"/>
      <c r="Q70" s="138"/>
      <c r="R70" s="138"/>
      <c r="S70" s="138"/>
    </row>
    <row r="71" spans="1:19" x14ac:dyDescent="0.25">
      <c r="A71" s="60"/>
      <c r="B71" s="124">
        <v>35</v>
      </c>
      <c r="C71" s="128">
        <f t="shared" ca="1" si="5"/>
        <v>46422</v>
      </c>
      <c r="D71" s="30">
        <f>IF(B71&lt;$F$16,$G$19-E71-F71,IF(B71=$F$16,$E$18-SUM($D$36:D70),0))</f>
        <v>0</v>
      </c>
      <c r="E71" s="31">
        <f>IF(B71&lt;=$F$16,(E$18*(VLOOKUP($H$2,Лист2!$A:$N,12,0)-(B71-1)*VLOOKUP($H$2,Лист2!$A:$N,13,0))),0)</f>
        <v>0</v>
      </c>
      <c r="F71" s="31">
        <f ca="1">($E$18-SUM($D$36:D70))*$F$10/365*(C71-C70)</f>
        <v>0</v>
      </c>
      <c r="G71" s="200">
        <f t="shared" ca="1" si="7"/>
        <v>0</v>
      </c>
      <c r="H71" s="201"/>
      <c r="I71" s="130"/>
      <c r="J71" s="130"/>
      <c r="K71" s="138"/>
      <c r="L71" s="138"/>
      <c r="M71" s="138"/>
      <c r="N71" s="138"/>
      <c r="O71" s="138"/>
      <c r="P71" s="138"/>
      <c r="Q71" s="138"/>
      <c r="R71" s="138"/>
      <c r="S71" s="138"/>
    </row>
    <row r="72" spans="1:19" x14ac:dyDescent="0.25">
      <c r="A72" s="60"/>
      <c r="B72" s="124">
        <v>36</v>
      </c>
      <c r="C72" s="128">
        <f t="shared" ca="1" si="5"/>
        <v>46450</v>
      </c>
      <c r="D72" s="30">
        <f>IF(B72&lt;$F$16,$G$19-E72-F72,IF(B72=$F$16,$E$18-SUM($D$36:D71),0))</f>
        <v>0</v>
      </c>
      <c r="E72" s="31">
        <f>IF(B72&lt;=$F$16,(E$18*(VLOOKUP($H$2,Лист2!$A:$N,12,0)-(B72-1)*VLOOKUP($H$2,Лист2!$A:$N,13,0))),0)</f>
        <v>0</v>
      </c>
      <c r="F72" s="31">
        <f ca="1">($E$18-SUM($D$36:D71))*$F$10/365*(C72-C71)</f>
        <v>0</v>
      </c>
      <c r="G72" s="200">
        <f t="shared" ca="1" si="7"/>
        <v>0</v>
      </c>
      <c r="H72" s="201"/>
      <c r="I72" s="130"/>
      <c r="J72" s="130"/>
      <c r="K72" s="138"/>
      <c r="L72" s="138"/>
      <c r="M72" s="138"/>
      <c r="N72" s="138"/>
      <c r="O72" s="138"/>
      <c r="P72" s="138"/>
      <c r="Q72" s="138"/>
      <c r="R72" s="138"/>
      <c r="S72" s="138"/>
    </row>
    <row r="73" spans="1:19" x14ac:dyDescent="0.25">
      <c r="A73" s="60"/>
      <c r="B73" s="124">
        <v>37</v>
      </c>
      <c r="C73" s="128">
        <f t="shared" ca="1" si="5"/>
        <v>46481</v>
      </c>
      <c r="D73" s="30">
        <f>IF(B73&lt;$F$16,$G$19-E73-F73,IF(B73=$F$16,$E$18-SUM($D$36:D72),0))</f>
        <v>0</v>
      </c>
      <c r="E73" s="31">
        <f>IF(B73&lt;=$F$16,(E$18*(VLOOKUP($H$2,Лист2!$A:$N,12,0)-(B73-1)*VLOOKUP($H$2,Лист2!$A:$N,13,0))),0)</f>
        <v>0</v>
      </c>
      <c r="F73" s="31">
        <f ca="1">($E$18-SUM($D$36:D72))*$F$10/365*(C73-C72)</f>
        <v>0</v>
      </c>
      <c r="G73" s="200">
        <f t="shared" ref="G73:G86" ca="1" si="8">D73+E73+F73</f>
        <v>0</v>
      </c>
      <c r="H73" s="201"/>
      <c r="I73" s="130"/>
      <c r="J73" s="130"/>
      <c r="K73" s="138"/>
      <c r="L73" s="138"/>
      <c r="M73" s="138"/>
      <c r="N73" s="138"/>
      <c r="O73" s="138"/>
      <c r="P73" s="138"/>
      <c r="Q73" s="138"/>
      <c r="R73" s="138"/>
      <c r="S73" s="138"/>
    </row>
    <row r="74" spans="1:19" x14ac:dyDescent="0.25">
      <c r="A74" s="60"/>
      <c r="B74" s="124">
        <v>38</v>
      </c>
      <c r="C74" s="128">
        <f t="shared" ca="1" si="5"/>
        <v>46511</v>
      </c>
      <c r="D74" s="30">
        <f>IF(B74&lt;$F$16,$G$19-E74-F74,IF(B74=$F$16,$E$18-SUM($D$36:D73),0))</f>
        <v>0</v>
      </c>
      <c r="E74" s="31">
        <f>IF(B74&lt;=$F$16,(E$18*(VLOOKUP($H$2,Лист2!$A:$N,12,0)-(B74-1)*VLOOKUP($H$2,Лист2!$A:$N,13,0))),0)</f>
        <v>0</v>
      </c>
      <c r="F74" s="31">
        <f ca="1">($E$18-SUM($D$36:D73))*$F$10/365*(C74-C73)</f>
        <v>0</v>
      </c>
      <c r="G74" s="200">
        <f t="shared" ca="1" si="8"/>
        <v>0</v>
      </c>
      <c r="H74" s="201"/>
      <c r="I74" s="130"/>
      <c r="J74" s="130"/>
      <c r="K74" s="138"/>
      <c r="L74" s="138"/>
      <c r="M74" s="138"/>
      <c r="N74" s="138"/>
      <c r="O74" s="138"/>
      <c r="P74" s="138"/>
      <c r="Q74" s="138"/>
      <c r="R74" s="138"/>
      <c r="S74" s="138"/>
    </row>
    <row r="75" spans="1:19" x14ac:dyDescent="0.25">
      <c r="A75" s="60"/>
      <c r="B75" s="124">
        <v>39</v>
      </c>
      <c r="C75" s="128">
        <f t="shared" ca="1" si="5"/>
        <v>46542</v>
      </c>
      <c r="D75" s="30">
        <f>IF(B75&lt;$F$16,$G$19-E75-F75,IF(B75=$F$16,$E$18-SUM($D$36:D74),0))</f>
        <v>0</v>
      </c>
      <c r="E75" s="31">
        <f>IF(B75&lt;=$F$16,(E$18*(VLOOKUP($H$2,Лист2!$A:$N,12,0)-(B75-1)*VLOOKUP($H$2,Лист2!$A:$N,13,0))),0)</f>
        <v>0</v>
      </c>
      <c r="F75" s="31">
        <f ca="1">($E$18-SUM($D$36:D74))*$F$10/365*(C75-C74)</f>
        <v>0</v>
      </c>
      <c r="G75" s="200">
        <f t="shared" ca="1" si="8"/>
        <v>0</v>
      </c>
      <c r="H75" s="201"/>
      <c r="I75" s="130"/>
      <c r="J75" s="130"/>
      <c r="K75" s="138"/>
      <c r="L75" s="138"/>
      <c r="M75" s="138"/>
      <c r="N75" s="138"/>
      <c r="O75" s="138"/>
      <c r="P75" s="138"/>
      <c r="Q75" s="138"/>
      <c r="R75" s="138"/>
      <c r="S75" s="138"/>
    </row>
    <row r="76" spans="1:19" x14ac:dyDescent="0.25">
      <c r="A76" s="60"/>
      <c r="B76" s="124">
        <v>40</v>
      </c>
      <c r="C76" s="128">
        <f t="shared" ca="1" si="5"/>
        <v>46572</v>
      </c>
      <c r="D76" s="30">
        <f>IF(B76&lt;$F$16,$G$19-E76-F76,IF(B76=$F$16,$E$18-SUM($D$36:D75),0))</f>
        <v>0</v>
      </c>
      <c r="E76" s="31">
        <f>IF(B76&lt;=$F$16,(E$18*(VLOOKUP($H$2,Лист2!$A:$N,12,0)-(B76-1)*VLOOKUP($H$2,Лист2!$A:$N,13,0))),0)</f>
        <v>0</v>
      </c>
      <c r="F76" s="31">
        <f ca="1">($E$18-SUM($D$36:D75))*$F$10/365*(C76-C75)</f>
        <v>0</v>
      </c>
      <c r="G76" s="200">
        <f t="shared" ca="1" si="8"/>
        <v>0</v>
      </c>
      <c r="H76" s="201"/>
      <c r="I76" s="130"/>
      <c r="J76" s="130"/>
      <c r="K76" s="138"/>
      <c r="L76" s="138"/>
      <c r="M76" s="138"/>
      <c r="N76" s="138"/>
      <c r="O76" s="138"/>
      <c r="P76" s="138"/>
      <c r="Q76" s="138"/>
      <c r="R76" s="138"/>
      <c r="S76" s="138"/>
    </row>
    <row r="77" spans="1:19" x14ac:dyDescent="0.25">
      <c r="A77" s="60"/>
      <c r="B77" s="124">
        <v>41</v>
      </c>
      <c r="C77" s="128">
        <f t="shared" ca="1" si="5"/>
        <v>46603</v>
      </c>
      <c r="D77" s="30">
        <f>IF(B77&lt;$F$16,$G$19-E77-F77,IF(B77=$F$16,$E$18-SUM($D$36:D76),0))</f>
        <v>0</v>
      </c>
      <c r="E77" s="31">
        <f>IF(B77&lt;=$F$16,(E$18*(VLOOKUP($H$2,Лист2!$A:$N,12,0)-(B77-1)*VLOOKUP($H$2,Лист2!$A:$N,13,0))),0)</f>
        <v>0</v>
      </c>
      <c r="F77" s="31">
        <f ca="1">($E$18-SUM($D$36:D76))*$F$10/365*(C77-C76)</f>
        <v>0</v>
      </c>
      <c r="G77" s="200">
        <f t="shared" ca="1" si="8"/>
        <v>0</v>
      </c>
      <c r="H77" s="201"/>
      <c r="I77" s="130"/>
      <c r="J77" s="130"/>
      <c r="K77" s="138"/>
      <c r="L77" s="138"/>
      <c r="M77" s="138"/>
      <c r="N77" s="138"/>
      <c r="O77" s="138"/>
      <c r="P77" s="138"/>
      <c r="Q77" s="138"/>
      <c r="R77" s="138"/>
      <c r="S77" s="138"/>
    </row>
    <row r="78" spans="1:19" x14ac:dyDescent="0.25">
      <c r="A78" s="60"/>
      <c r="B78" s="124">
        <v>42</v>
      </c>
      <c r="C78" s="128">
        <f t="shared" ca="1" si="5"/>
        <v>46634</v>
      </c>
      <c r="D78" s="30">
        <f>IF(B78&lt;$F$16,$G$19-E78-F78,IF(B78=$F$16,$E$18-SUM($D$36:D77),0))</f>
        <v>0</v>
      </c>
      <c r="E78" s="31">
        <f>IF(B78&lt;=$F$16,(E$18*(VLOOKUP($H$2,Лист2!$A:$N,12,0)-(B78-1)*VLOOKUP($H$2,Лист2!$A:$N,13,0))),0)</f>
        <v>0</v>
      </c>
      <c r="F78" s="31">
        <f ca="1">($E$18-SUM($D$36:D77))*$F$10/365*(C78-C77)</f>
        <v>0</v>
      </c>
      <c r="G78" s="200">
        <f t="shared" ca="1" si="8"/>
        <v>0</v>
      </c>
      <c r="H78" s="201"/>
      <c r="I78" s="130"/>
      <c r="J78" s="130"/>
      <c r="K78" s="138"/>
      <c r="L78" s="138"/>
      <c r="M78" s="138"/>
      <c r="N78" s="138"/>
      <c r="O78" s="138"/>
      <c r="P78" s="138"/>
      <c r="Q78" s="138"/>
      <c r="R78" s="138"/>
      <c r="S78" s="138"/>
    </row>
    <row r="79" spans="1:19" x14ac:dyDescent="0.25">
      <c r="A79" s="60"/>
      <c r="B79" s="124">
        <v>43</v>
      </c>
      <c r="C79" s="128">
        <f t="shared" ca="1" si="5"/>
        <v>46664</v>
      </c>
      <c r="D79" s="30">
        <f>IF(B79&lt;$F$16,$G$19-E79-F79,IF(B79=$F$16,$E$18-SUM($D$36:D78),0))</f>
        <v>0</v>
      </c>
      <c r="E79" s="31">
        <f>IF(B79&lt;=$F$16,(E$18*(VLOOKUP($H$2,Лист2!$A:$N,12,0)-(B79-1)*VLOOKUP($H$2,Лист2!$A:$N,13,0))),0)</f>
        <v>0</v>
      </c>
      <c r="F79" s="31">
        <f ca="1">($E$18-SUM($D$36:D78))*$F$10/365*(C79-C78)</f>
        <v>0</v>
      </c>
      <c r="G79" s="200">
        <f t="shared" ca="1" si="8"/>
        <v>0</v>
      </c>
      <c r="H79" s="201"/>
      <c r="I79" s="130"/>
      <c r="J79" s="130"/>
      <c r="K79" s="138"/>
      <c r="L79" s="138"/>
      <c r="M79" s="138"/>
      <c r="N79" s="138"/>
      <c r="O79" s="138"/>
      <c r="P79" s="138"/>
      <c r="Q79" s="138"/>
      <c r="R79" s="138"/>
      <c r="S79" s="138"/>
    </row>
    <row r="80" spans="1:19" x14ac:dyDescent="0.25">
      <c r="A80" s="60"/>
      <c r="B80" s="124">
        <v>44</v>
      </c>
      <c r="C80" s="128">
        <f t="shared" ca="1" si="5"/>
        <v>46695</v>
      </c>
      <c r="D80" s="30">
        <f>IF(B80&lt;$F$16,$G$19-E80-F80,IF(B80=$F$16,$E$18-SUM($D$36:D79),0))</f>
        <v>0</v>
      </c>
      <c r="E80" s="31">
        <f>IF(B80&lt;=$F$16,(E$18*(VLOOKUP($H$2,Лист2!$A:$N,12,0)-(B80-1)*VLOOKUP($H$2,Лист2!$A:$N,13,0))),0)</f>
        <v>0</v>
      </c>
      <c r="F80" s="31">
        <f ca="1">($E$18-SUM($D$36:D79))*$F$10/365*(C80-C79)</f>
        <v>0</v>
      </c>
      <c r="G80" s="200">
        <f t="shared" ca="1" si="8"/>
        <v>0</v>
      </c>
      <c r="H80" s="201"/>
      <c r="I80" s="130"/>
      <c r="J80" s="130"/>
      <c r="K80" s="138"/>
      <c r="L80" s="138"/>
      <c r="M80" s="138"/>
      <c r="N80" s="138"/>
      <c r="O80" s="138"/>
      <c r="P80" s="138"/>
      <c r="Q80" s="138"/>
      <c r="R80" s="138"/>
      <c r="S80" s="138"/>
    </row>
    <row r="81" spans="1:19" x14ac:dyDescent="0.25">
      <c r="A81" s="60"/>
      <c r="B81" s="124">
        <v>45</v>
      </c>
      <c r="C81" s="128">
        <f t="shared" ca="1" si="5"/>
        <v>46725</v>
      </c>
      <c r="D81" s="30">
        <f>IF(B81&lt;$F$16,$G$19-E81-F81,IF(B81=$F$16,$E$18-SUM($D$36:D80),0))</f>
        <v>0</v>
      </c>
      <c r="E81" s="31">
        <f>IF(B81&lt;=$F$16,(E$18*(VLOOKUP($H$2,Лист2!$A:$N,12,0)-(B81-1)*VLOOKUP($H$2,Лист2!$A:$N,13,0))),0)</f>
        <v>0</v>
      </c>
      <c r="F81" s="31">
        <f ca="1">($E$18-SUM($D$36:D80))*$F$10/365*(C81-C80)</f>
        <v>0</v>
      </c>
      <c r="G81" s="200">
        <f t="shared" ca="1" si="8"/>
        <v>0</v>
      </c>
      <c r="H81" s="201"/>
      <c r="I81" s="130"/>
      <c r="J81" s="130"/>
      <c r="K81" s="138"/>
      <c r="L81" s="138"/>
      <c r="M81" s="138"/>
      <c r="N81" s="138"/>
      <c r="O81" s="138"/>
      <c r="P81" s="138"/>
      <c r="Q81" s="138"/>
      <c r="R81" s="138"/>
      <c r="S81" s="138"/>
    </row>
    <row r="82" spans="1:19" x14ac:dyDescent="0.25">
      <c r="A82" s="60"/>
      <c r="B82" s="124">
        <v>46</v>
      </c>
      <c r="C82" s="128">
        <f t="shared" ca="1" si="5"/>
        <v>46756</v>
      </c>
      <c r="D82" s="30">
        <f>IF(B82&lt;$F$16,$G$19-E82-F82,IF(B82=$F$16,$E$18-SUM($D$36:D81),0))</f>
        <v>0</v>
      </c>
      <c r="E82" s="31">
        <f>IF(B82&lt;=$F$16,(E$18*(VLOOKUP($H$2,Лист2!$A:$N,12,0)-(B82-1)*VLOOKUP($H$2,Лист2!$A:$N,13,0))),0)</f>
        <v>0</v>
      </c>
      <c r="F82" s="31">
        <f ca="1">($E$18-SUM($D$36:D81))*$F$10/365*(C82-C81)</f>
        <v>0</v>
      </c>
      <c r="G82" s="200">
        <f t="shared" ca="1" si="8"/>
        <v>0</v>
      </c>
      <c r="H82" s="201"/>
      <c r="I82" s="130"/>
      <c r="J82" s="130"/>
      <c r="K82" s="138"/>
      <c r="L82" s="138"/>
      <c r="M82" s="138"/>
      <c r="N82" s="138"/>
      <c r="O82" s="138"/>
      <c r="P82" s="138"/>
      <c r="Q82" s="138"/>
      <c r="R82" s="138"/>
      <c r="S82" s="138"/>
    </row>
    <row r="83" spans="1:19" x14ac:dyDescent="0.25">
      <c r="A83" s="60"/>
      <c r="B83" s="124">
        <v>47</v>
      </c>
      <c r="C83" s="128">
        <f t="shared" ca="1" si="5"/>
        <v>46787</v>
      </c>
      <c r="D83" s="30">
        <f>IF(B83&lt;$F$16,$G$19-E83-F83,IF(B83=$F$16,$E$18-SUM($D$36:D82),0))</f>
        <v>0</v>
      </c>
      <c r="E83" s="31">
        <f>IF(B83&lt;=$F$16,(E$18*(VLOOKUP($H$2,Лист2!$A:$N,12,0)-(B83-1)*VLOOKUP($H$2,Лист2!$A:$N,13,0))),0)</f>
        <v>0</v>
      </c>
      <c r="F83" s="31">
        <f ca="1">($E$18-SUM($D$36:D82))*$F$10/365*(C83-C82)</f>
        <v>0</v>
      </c>
      <c r="G83" s="200">
        <f t="shared" ca="1" si="8"/>
        <v>0</v>
      </c>
      <c r="H83" s="201"/>
      <c r="I83" s="130"/>
      <c r="J83" s="130"/>
      <c r="K83" s="138"/>
      <c r="L83" s="138"/>
      <c r="M83" s="138"/>
      <c r="N83" s="138"/>
      <c r="O83" s="138"/>
      <c r="P83" s="138"/>
      <c r="Q83" s="138"/>
      <c r="R83" s="138"/>
      <c r="S83" s="138"/>
    </row>
    <row r="84" spans="1:19" x14ac:dyDescent="0.25">
      <c r="A84" s="60"/>
      <c r="B84" s="124">
        <v>48</v>
      </c>
      <c r="C84" s="128">
        <f t="shared" ca="1" si="5"/>
        <v>46816</v>
      </c>
      <c r="D84" s="30">
        <f>IF(B84&lt;$F$16,$G$19-E84-F84,IF(B84=$F$16,$E$18-SUM($D$36:D83),0))</f>
        <v>0</v>
      </c>
      <c r="E84" s="31">
        <f>IF(B84&lt;=$F$16,(E$18*(VLOOKUP($H$2,Лист2!$A:$N,12,0)-(B84-1)*VLOOKUP($H$2,Лист2!$A:$N,13,0))),0)</f>
        <v>0</v>
      </c>
      <c r="F84" s="31">
        <f ca="1">($E$18-SUM($D$36:D83))*$F$10/365*(C84-C83)</f>
        <v>0</v>
      </c>
      <c r="G84" s="200">
        <f t="shared" ca="1" si="8"/>
        <v>0</v>
      </c>
      <c r="H84" s="201"/>
      <c r="I84" s="130"/>
      <c r="J84" s="130"/>
      <c r="K84" s="138"/>
      <c r="L84" s="138"/>
      <c r="M84" s="138"/>
      <c r="N84" s="138"/>
      <c r="O84" s="138"/>
      <c r="P84" s="138"/>
      <c r="Q84" s="138"/>
      <c r="R84" s="138"/>
      <c r="S84" s="138"/>
    </row>
    <row r="85" spans="1:19" x14ac:dyDescent="0.25">
      <c r="A85" s="60"/>
      <c r="B85" s="124">
        <v>49</v>
      </c>
      <c r="C85" s="128">
        <f t="shared" ca="1" si="5"/>
        <v>46847</v>
      </c>
      <c r="D85" s="30">
        <f>IF(B85&lt;$F$16,$G$19-E85-F85,IF(B85=$F$16,$E$18-SUM($D$36:D84),0))</f>
        <v>0</v>
      </c>
      <c r="E85" s="31">
        <f>IF(B85&lt;=$F$16,(E$18*(VLOOKUP($H$2,Лист2!$A:$N,12,0)-(B85-1)*VLOOKUP($H$2,Лист2!$A:$N,13,0))),0)</f>
        <v>0</v>
      </c>
      <c r="F85" s="31">
        <f ca="1">($E$18-SUM($D$36:D84))*$F$10/365*(C85-C84)</f>
        <v>0</v>
      </c>
      <c r="G85" s="200">
        <f t="shared" ca="1" si="8"/>
        <v>0</v>
      </c>
      <c r="H85" s="201"/>
      <c r="I85" s="130"/>
      <c r="J85" s="130"/>
      <c r="K85" s="138"/>
      <c r="L85" s="138"/>
      <c r="M85" s="138"/>
      <c r="N85" s="138"/>
      <c r="O85" s="138"/>
      <c r="P85" s="138"/>
      <c r="Q85" s="138"/>
      <c r="R85" s="138"/>
      <c r="S85" s="138"/>
    </row>
    <row r="86" spans="1:19" x14ac:dyDescent="0.25">
      <c r="A86" s="60"/>
      <c r="B86" s="124">
        <v>50</v>
      </c>
      <c r="C86" s="128">
        <f t="shared" ca="1" si="5"/>
        <v>46877</v>
      </c>
      <c r="D86" s="30">
        <f>IF(B86&lt;$F$16,$G$19-E86-F86,IF(B86=$F$16,$E$18-SUM($D$36:D85),0))</f>
        <v>0</v>
      </c>
      <c r="E86" s="31">
        <f>IF(B86&lt;=$F$16,(E$18*(VLOOKUP($H$2,Лист2!$A:$N,12,0)-(B86-1)*VLOOKUP($H$2,Лист2!$A:$N,13,0))),0)</f>
        <v>0</v>
      </c>
      <c r="F86" s="31">
        <f ca="1">($E$18-SUM($D$36:D85))*$F$10/365*(C86-C85)</f>
        <v>0</v>
      </c>
      <c r="G86" s="200">
        <f t="shared" ca="1" si="8"/>
        <v>0</v>
      </c>
      <c r="H86" s="201"/>
      <c r="I86" s="130"/>
      <c r="J86" s="130"/>
      <c r="K86" s="138"/>
      <c r="L86" s="138"/>
      <c r="M86" s="138"/>
      <c r="N86" s="138"/>
      <c r="O86" s="138"/>
      <c r="P86" s="138"/>
      <c r="Q86" s="138"/>
      <c r="R86" s="138"/>
      <c r="S86" s="138"/>
    </row>
    <row r="87" spans="1:19" x14ac:dyDescent="0.25">
      <c r="A87" s="60"/>
      <c r="B87" s="124">
        <v>51</v>
      </c>
      <c r="C87" s="128">
        <f t="shared" ca="1" si="5"/>
        <v>46908</v>
      </c>
      <c r="D87" s="30">
        <f>IF(B87&lt;$F$16,$G$19-E87-F87,IF(B87=$F$16,$E$18-SUM($D$36:D86),0))</f>
        <v>0</v>
      </c>
      <c r="E87" s="31">
        <f>IF(B87&lt;=$F$16,(E$18*(VLOOKUP($H$2,Лист2!$A:$N,12,0)-(B87-1)*VLOOKUP($H$2,Лист2!$A:$N,13,0))),0)</f>
        <v>0</v>
      </c>
      <c r="F87" s="31">
        <f ca="1">($E$18-SUM($D$36:D86))*$F$10/365*(C87-C86)</f>
        <v>0</v>
      </c>
      <c r="G87" s="200">
        <f t="shared" ref="G87:G96" ca="1" si="9">D87+E87+F87</f>
        <v>0</v>
      </c>
      <c r="H87" s="201"/>
      <c r="I87" s="130"/>
      <c r="J87" s="130"/>
      <c r="K87" s="138"/>
      <c r="L87" s="138"/>
      <c r="M87" s="138"/>
      <c r="N87" s="138"/>
      <c r="O87" s="138"/>
      <c r="P87" s="138"/>
      <c r="Q87" s="138"/>
      <c r="R87" s="138"/>
      <c r="S87" s="138"/>
    </row>
    <row r="88" spans="1:19" x14ac:dyDescent="0.25">
      <c r="A88" s="60"/>
      <c r="B88" s="124">
        <v>52</v>
      </c>
      <c r="C88" s="128">
        <f t="shared" ca="1" si="5"/>
        <v>46938</v>
      </c>
      <c r="D88" s="30">
        <f>IF(B88&lt;$F$16,$G$19-E88-F88,IF(B88=$F$16,$E$18-SUM($D$36:D87),0))</f>
        <v>0</v>
      </c>
      <c r="E88" s="31">
        <f>IF(B88&lt;=$F$16,(E$18*(VLOOKUP($H$2,Лист2!$A:$N,12,0)-(B88-1)*VLOOKUP($H$2,Лист2!$A:$N,13,0))),0)</f>
        <v>0</v>
      </c>
      <c r="F88" s="31">
        <f ca="1">($E$18-SUM($D$36:D87))*$F$10/365*(C88-C87)</f>
        <v>0</v>
      </c>
      <c r="G88" s="200">
        <f t="shared" ca="1" si="9"/>
        <v>0</v>
      </c>
      <c r="H88" s="201"/>
      <c r="I88" s="130"/>
      <c r="J88" s="130"/>
      <c r="K88" s="138"/>
      <c r="L88" s="138"/>
      <c r="M88" s="138"/>
      <c r="N88" s="138"/>
      <c r="O88" s="138"/>
      <c r="P88" s="138"/>
      <c r="Q88" s="138"/>
      <c r="R88" s="138"/>
      <c r="S88" s="138"/>
    </row>
    <row r="89" spans="1:19" x14ac:dyDescent="0.25">
      <c r="A89" s="60"/>
      <c r="B89" s="124">
        <v>53</v>
      </c>
      <c r="C89" s="128">
        <f t="shared" ca="1" si="5"/>
        <v>46969</v>
      </c>
      <c r="D89" s="30">
        <f>IF(B89&lt;$F$16,$G$19-E89-F89,IF(B89=$F$16,$E$18-SUM($D$36:D88),0))</f>
        <v>0</v>
      </c>
      <c r="E89" s="31">
        <f>IF(B89&lt;=$F$16,(E$18*(VLOOKUP($H$2,Лист2!$A:$N,12,0)-(B89-1)*VLOOKUP($H$2,Лист2!$A:$N,13,0))),0)</f>
        <v>0</v>
      </c>
      <c r="F89" s="31">
        <f ca="1">($E$18-SUM($D$36:D88))*$F$10/365*(C89-C88)</f>
        <v>0</v>
      </c>
      <c r="G89" s="200">
        <f t="shared" ca="1" si="9"/>
        <v>0</v>
      </c>
      <c r="H89" s="201"/>
      <c r="I89" s="130"/>
      <c r="J89" s="130"/>
      <c r="K89" s="138"/>
      <c r="L89" s="138"/>
      <c r="M89" s="138"/>
      <c r="N89" s="138"/>
      <c r="O89" s="138"/>
      <c r="P89" s="138"/>
      <c r="Q89" s="138"/>
      <c r="R89" s="138"/>
      <c r="S89" s="138"/>
    </row>
    <row r="90" spans="1:19" x14ac:dyDescent="0.25">
      <c r="A90" s="60"/>
      <c r="B90" s="124">
        <v>54</v>
      </c>
      <c r="C90" s="128">
        <f t="shared" ca="1" si="5"/>
        <v>47000</v>
      </c>
      <c r="D90" s="30">
        <f>IF(B90&lt;$F$16,$G$19-E90-F90,IF(B90=$F$16,$E$18-SUM($D$36:D89),0))</f>
        <v>0</v>
      </c>
      <c r="E90" s="31">
        <f>IF(B90&lt;=$F$16,(E$18*(VLOOKUP($H$2,Лист2!$A:$N,12,0)-(B90-1)*VLOOKUP($H$2,Лист2!$A:$N,13,0))),0)</f>
        <v>0</v>
      </c>
      <c r="F90" s="31">
        <f ca="1">($E$18-SUM($D$36:D89))*$F$10/365*(C90-C89)</f>
        <v>0</v>
      </c>
      <c r="G90" s="200">
        <f t="shared" ca="1" si="9"/>
        <v>0</v>
      </c>
      <c r="H90" s="201"/>
      <c r="I90" s="130"/>
      <c r="J90" s="130"/>
      <c r="K90" s="138"/>
      <c r="L90" s="138"/>
      <c r="M90" s="138"/>
      <c r="N90" s="138"/>
      <c r="O90" s="138"/>
      <c r="P90" s="138"/>
      <c r="Q90" s="138"/>
      <c r="R90" s="138"/>
      <c r="S90" s="138"/>
    </row>
    <row r="91" spans="1:19" x14ac:dyDescent="0.25">
      <c r="A91" s="60"/>
      <c r="B91" s="124">
        <v>55</v>
      </c>
      <c r="C91" s="128">
        <f t="shared" ca="1" si="5"/>
        <v>47030</v>
      </c>
      <c r="D91" s="30">
        <f>IF(B91&lt;$F$16,$G$19-E91-F91,IF(B91=$F$16,$E$18-SUM($D$36:D90),0))</f>
        <v>0</v>
      </c>
      <c r="E91" s="31">
        <f>IF(B91&lt;=$F$16,(E$18*(VLOOKUP($H$2,Лист2!$A:$N,12,0)-(B91-1)*VLOOKUP($H$2,Лист2!$A:$N,13,0))),0)</f>
        <v>0</v>
      </c>
      <c r="F91" s="31">
        <f ca="1">($E$18-SUM($D$36:D90))*$F$10/365*(C91-C90)</f>
        <v>0</v>
      </c>
      <c r="G91" s="200">
        <f t="shared" ca="1" si="9"/>
        <v>0</v>
      </c>
      <c r="H91" s="201"/>
      <c r="I91" s="130"/>
      <c r="J91" s="130"/>
      <c r="K91" s="138"/>
      <c r="L91" s="138"/>
      <c r="M91" s="138"/>
      <c r="N91" s="138"/>
      <c r="O91" s="138"/>
      <c r="P91" s="138"/>
      <c r="Q91" s="138"/>
      <c r="R91" s="138"/>
      <c r="S91" s="138"/>
    </row>
    <row r="92" spans="1:19" x14ac:dyDescent="0.25">
      <c r="A92" s="60"/>
      <c r="B92" s="124">
        <v>56</v>
      </c>
      <c r="C92" s="128">
        <f t="shared" ca="1" si="5"/>
        <v>47061</v>
      </c>
      <c r="D92" s="30">
        <f>IF(B92&lt;$F$16,$G$19-E92-F92,IF(B92=$F$16,$E$18-SUM($D$36:D91),0))</f>
        <v>0</v>
      </c>
      <c r="E92" s="31">
        <f>IF(B92&lt;=$F$16,(E$18*(VLOOKUP($H$2,Лист2!$A:$N,12,0)-(B92-1)*VLOOKUP($H$2,Лист2!$A:$N,13,0))),0)</f>
        <v>0</v>
      </c>
      <c r="F92" s="31">
        <f ca="1">($E$18-SUM($D$36:D91))*$F$10/365*(C92-C91)</f>
        <v>0</v>
      </c>
      <c r="G92" s="200">
        <f t="shared" ca="1" si="9"/>
        <v>0</v>
      </c>
      <c r="H92" s="201"/>
      <c r="I92" s="130"/>
      <c r="J92" s="130"/>
      <c r="K92" s="138"/>
      <c r="L92" s="138"/>
      <c r="M92" s="138"/>
      <c r="N92" s="138"/>
      <c r="O92" s="138"/>
      <c r="P92" s="138"/>
      <c r="Q92" s="138"/>
      <c r="R92" s="138"/>
      <c r="S92" s="138"/>
    </row>
    <row r="93" spans="1:19" x14ac:dyDescent="0.25">
      <c r="A93" s="60"/>
      <c r="B93" s="124">
        <v>57</v>
      </c>
      <c r="C93" s="128">
        <f t="shared" ca="1" si="5"/>
        <v>47091</v>
      </c>
      <c r="D93" s="30">
        <f>IF(B93&lt;$F$16,$G$19-E93-F93,IF(B93=$F$16,$E$18-SUM($D$36:D92),0))</f>
        <v>0</v>
      </c>
      <c r="E93" s="31">
        <f>IF(B93&lt;=$F$16,(E$18*(VLOOKUP($H$2,Лист2!$A:$N,12,0)-(B93-1)*VLOOKUP($H$2,Лист2!$A:$N,13,0))),0)</f>
        <v>0</v>
      </c>
      <c r="F93" s="31">
        <f ca="1">($E$18-SUM($D$36:D92))*$F$10/365*(C93-C92)</f>
        <v>0</v>
      </c>
      <c r="G93" s="200">
        <f t="shared" ca="1" si="9"/>
        <v>0</v>
      </c>
      <c r="H93" s="201"/>
      <c r="I93" s="130"/>
      <c r="J93" s="130"/>
      <c r="K93" s="138"/>
      <c r="L93" s="138"/>
      <c r="M93" s="138"/>
      <c r="N93" s="138"/>
      <c r="O93" s="138"/>
      <c r="P93" s="138"/>
      <c r="Q93" s="138"/>
      <c r="R93" s="138"/>
      <c r="S93" s="138"/>
    </row>
    <row r="94" spans="1:19" x14ac:dyDescent="0.25">
      <c r="A94" s="60"/>
      <c r="B94" s="124">
        <v>58</v>
      </c>
      <c r="C94" s="128">
        <f t="shared" ca="1" si="5"/>
        <v>47122</v>
      </c>
      <c r="D94" s="30">
        <f>IF(B94&lt;$F$16,$G$19-E94-F94,IF(B94=$F$16,$E$18-SUM($D$36:D93),0))</f>
        <v>0</v>
      </c>
      <c r="E94" s="31">
        <f>IF(B94&lt;=$F$16,(E$18*(VLOOKUP($H$2,Лист2!$A:$N,12,0)-(B94-1)*VLOOKUP($H$2,Лист2!$A:$N,13,0))),0)</f>
        <v>0</v>
      </c>
      <c r="F94" s="31">
        <f ca="1">($E$18-SUM($D$36:D93))*$F$10/365*(C94-C93)</f>
        <v>0</v>
      </c>
      <c r="G94" s="200">
        <f t="shared" ca="1" si="9"/>
        <v>0</v>
      </c>
      <c r="H94" s="201"/>
      <c r="I94" s="130"/>
      <c r="J94" s="130"/>
      <c r="K94" s="138"/>
      <c r="L94" s="138"/>
      <c r="M94" s="138"/>
      <c r="N94" s="138"/>
      <c r="O94" s="138"/>
      <c r="P94" s="138"/>
      <c r="Q94" s="138"/>
      <c r="R94" s="138"/>
      <c r="S94" s="138"/>
    </row>
    <row r="95" spans="1:19" x14ac:dyDescent="0.25">
      <c r="A95" s="60"/>
      <c r="B95" s="124">
        <v>59</v>
      </c>
      <c r="C95" s="128">
        <f t="shared" ca="1" si="5"/>
        <v>47153</v>
      </c>
      <c r="D95" s="30">
        <f>IF(B95&lt;$F$16,$G$19-E95-F95,IF(B95=$F$16,$E$18-SUM($D$36:D94),0))</f>
        <v>0</v>
      </c>
      <c r="E95" s="31">
        <f>IF(B95&lt;=$F$16,(E$18*(VLOOKUP($H$2,Лист2!$A:$N,12,0)-(B95-1)*VLOOKUP($H$2,Лист2!$A:$N,13,0))),0)</f>
        <v>0</v>
      </c>
      <c r="F95" s="31">
        <f ca="1">($E$18-SUM($D$36:D94))*$F$10/365*(C95-C94)</f>
        <v>0</v>
      </c>
      <c r="G95" s="200">
        <f t="shared" ca="1" si="9"/>
        <v>0</v>
      </c>
      <c r="H95" s="201"/>
      <c r="I95" s="130"/>
      <c r="J95" s="130"/>
    </row>
    <row r="96" spans="1:19" ht="13.8" thickBot="1" x14ac:dyDescent="0.3">
      <c r="A96" s="60"/>
      <c r="B96" s="124">
        <v>60</v>
      </c>
      <c r="C96" s="128">
        <f t="shared" ca="1" si="5"/>
        <v>47181</v>
      </c>
      <c r="D96" s="30">
        <f>IF(B96&lt;$F$16,$G$19-E96-F96,IF(B96=$F$16,$E$18-SUM($D$36:D95),0))</f>
        <v>0</v>
      </c>
      <c r="E96" s="31">
        <f>IF(B96&lt;=$F$16,(E$18*(VLOOKUP($H$2,Лист2!$A:$N,12,0)-(B96-1)*VLOOKUP($H$2,Лист2!$A:$N,13,0))),0)</f>
        <v>0</v>
      </c>
      <c r="F96" s="31">
        <f ca="1">($E$18-SUM($D$36:D95))*$F$10/365*(C96-C95)</f>
        <v>0</v>
      </c>
      <c r="G96" s="207">
        <f t="shared" ca="1" si="9"/>
        <v>0</v>
      </c>
      <c r="H96" s="208"/>
      <c r="I96" s="130"/>
      <c r="J96" s="130"/>
    </row>
    <row r="97" spans="1:10" ht="16.2" thickBot="1" x14ac:dyDescent="0.3">
      <c r="A97" s="60"/>
      <c r="B97" s="209" t="s">
        <v>1</v>
      </c>
      <c r="C97" s="210"/>
      <c r="D97" s="117">
        <f ca="1">SUM(D37:D96)</f>
        <v>500001.04</v>
      </c>
      <c r="E97" s="117">
        <f>SUM(E37:E96)</f>
        <v>0</v>
      </c>
      <c r="F97" s="123">
        <f ca="1">SUM(F37:F96)</f>
        <v>384287.4411759965</v>
      </c>
      <c r="G97" s="204">
        <f ca="1">SUM(G37:H96)</f>
        <v>884288.48117599648</v>
      </c>
      <c r="H97" s="205"/>
      <c r="I97" s="130"/>
      <c r="J97" s="130"/>
    </row>
    <row r="98" spans="1:10" x14ac:dyDescent="0.25">
      <c r="A98" s="60"/>
      <c r="B98" s="2"/>
      <c r="C98" s="2"/>
      <c r="D98" s="2"/>
      <c r="E98" s="2"/>
      <c r="F98" s="2"/>
      <c r="G98" s="44"/>
      <c r="I98" s="130"/>
      <c r="J98" s="130"/>
    </row>
    <row r="99" spans="1:10" x14ac:dyDescent="0.25">
      <c r="A99" s="60"/>
      <c r="B99" s="2"/>
      <c r="C99" s="32"/>
      <c r="D99" s="33"/>
      <c r="E99" s="206" t="s">
        <v>8</v>
      </c>
      <c r="F99" s="206"/>
      <c r="G99" s="206"/>
      <c r="I99" s="130"/>
      <c r="J99" s="130"/>
    </row>
    <row r="100" spans="1:10" x14ac:dyDescent="0.25">
      <c r="A100" s="60"/>
      <c r="B100" s="2"/>
      <c r="C100" s="34"/>
      <c r="D100" s="2"/>
      <c r="E100" s="35" t="s">
        <v>9</v>
      </c>
      <c r="F100" s="36"/>
      <c r="G100" s="48"/>
      <c r="I100" s="130"/>
      <c r="J100" s="130"/>
    </row>
    <row r="101" spans="1:10" x14ac:dyDescent="0.25">
      <c r="A101" s="60"/>
      <c r="B101" s="61"/>
      <c r="C101" s="61"/>
      <c r="D101" s="61"/>
      <c r="E101" s="61"/>
      <c r="F101" s="61"/>
      <c r="G101" s="131"/>
      <c r="H101" s="62"/>
      <c r="I101" s="130"/>
      <c r="J101" s="130"/>
    </row>
    <row r="102" spans="1:10" x14ac:dyDescent="0.25">
      <c r="A102" s="60"/>
      <c r="B102" s="61"/>
      <c r="C102" s="61"/>
      <c r="D102" s="61"/>
      <c r="E102" s="61"/>
      <c r="F102" s="61"/>
      <c r="G102" s="131"/>
      <c r="H102" s="62"/>
      <c r="I102" s="63"/>
    </row>
    <row r="103" spans="1:10" x14ac:dyDescent="0.25">
      <c r="A103" s="60"/>
      <c r="B103" s="61"/>
      <c r="C103" s="61"/>
      <c r="D103" s="61"/>
      <c r="E103" s="61"/>
      <c r="F103" s="61"/>
      <c r="G103" s="131"/>
      <c r="H103" s="62"/>
      <c r="I103" s="63"/>
    </row>
    <row r="104" spans="1:10" x14ac:dyDescent="0.25">
      <c r="A104" s="60"/>
      <c r="B104" s="61"/>
      <c r="C104" s="61"/>
      <c r="D104" s="61"/>
      <c r="E104" s="61"/>
      <c r="F104" s="61"/>
      <c r="G104" s="131"/>
      <c r="H104" s="62"/>
      <c r="I104" s="63"/>
    </row>
  </sheetData>
  <sheetProtection password="F628" sheet="1" objects="1" scenarios="1" selectLockedCells="1"/>
  <dataConsolidate/>
  <mergeCells count="85">
    <mergeCell ref="B29:C29"/>
    <mergeCell ref="G65:H65"/>
    <mergeCell ref="G62:H62"/>
    <mergeCell ref="G63:H63"/>
    <mergeCell ref="G64:H64"/>
    <mergeCell ref="G37:H37"/>
    <mergeCell ref="G38:H38"/>
    <mergeCell ref="B30:C30"/>
    <mergeCell ref="B31:C31"/>
    <mergeCell ref="B34:H34"/>
    <mergeCell ref="B35:C35"/>
    <mergeCell ref="G35:H35"/>
    <mergeCell ref="G39:H39"/>
    <mergeCell ref="G40:H40"/>
    <mergeCell ref="G41:H41"/>
    <mergeCell ref="G47:H47"/>
    <mergeCell ref="B19:E19"/>
    <mergeCell ref="B21:E21"/>
    <mergeCell ref="B25:E25"/>
    <mergeCell ref="B27:C27"/>
    <mergeCell ref="B28:C28"/>
    <mergeCell ref="B23:E23"/>
    <mergeCell ref="B5:E5"/>
    <mergeCell ref="B10:E10"/>
    <mergeCell ref="B14:E14"/>
    <mergeCell ref="B12:E12"/>
    <mergeCell ref="B16:E16"/>
    <mergeCell ref="B8:E8"/>
    <mergeCell ref="G71:H71"/>
    <mergeCell ref="G72:H72"/>
    <mergeCell ref="F3:F4"/>
    <mergeCell ref="H3:I3"/>
    <mergeCell ref="G45:H45"/>
    <mergeCell ref="G46:H46"/>
    <mergeCell ref="G42:H42"/>
    <mergeCell ref="G43:H43"/>
    <mergeCell ref="G44:H44"/>
    <mergeCell ref="B97:C97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83:H83"/>
    <mergeCell ref="G84:H84"/>
    <mergeCell ref="G85:H85"/>
    <mergeCell ref="G86:H86"/>
    <mergeCell ref="G87:H87"/>
    <mergeCell ref="G97:H97"/>
    <mergeCell ref="G57:H57"/>
    <mergeCell ref="E99:G99"/>
    <mergeCell ref="G58:H58"/>
    <mergeCell ref="G59:H59"/>
    <mergeCell ref="G66:H66"/>
    <mergeCell ref="G88:H88"/>
    <mergeCell ref="G94:H94"/>
    <mergeCell ref="G95:H95"/>
    <mergeCell ref="G96:H96"/>
    <mergeCell ref="G89:H89"/>
    <mergeCell ref="G90:H90"/>
    <mergeCell ref="G91:H91"/>
    <mergeCell ref="G92:H92"/>
    <mergeCell ref="G93:H93"/>
    <mergeCell ref="G60:H60"/>
    <mergeCell ref="H1:I1"/>
    <mergeCell ref="G67:H67"/>
    <mergeCell ref="G68:H68"/>
    <mergeCell ref="G69:H69"/>
    <mergeCell ref="G70:H70"/>
    <mergeCell ref="G51:H51"/>
    <mergeCell ref="G52:H52"/>
    <mergeCell ref="G53:H53"/>
    <mergeCell ref="G48:H48"/>
    <mergeCell ref="G49:H49"/>
    <mergeCell ref="G50:H50"/>
    <mergeCell ref="H2:I2"/>
    <mergeCell ref="G54:H54"/>
    <mergeCell ref="G55:H55"/>
    <mergeCell ref="G56:H56"/>
    <mergeCell ref="G61:H61"/>
  </mergeCells>
  <pageMargins left="0.39370078740157483" right="0.35433070866141736" top="0.59055118110236227" bottom="0.59055118110236227" header="0.51181102362204722" footer="0.51181102362204722"/>
  <pageSetup paperSize="9" scale="63" firstPageNumber="2" orientation="portrait" verticalDpi="300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Лист2!$A$4:$A$19</xm:f>
          </x14:formula1>
          <xm:sqref>H2:I2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O19"/>
  <sheetViews>
    <sheetView zoomScale="150" zoomScaleNormal="150" workbookViewId="0">
      <selection activeCell="A4" sqref="A4:XFD19"/>
    </sheetView>
  </sheetViews>
  <sheetFormatPr defaultColWidth="9.109375" defaultRowHeight="13.2" x14ac:dyDescent="0.25"/>
  <cols>
    <col min="1" max="1" width="36.44140625" style="135" customWidth="1"/>
    <col min="2" max="2" width="11.44140625" style="135" customWidth="1"/>
    <col min="3" max="4" width="9.109375" style="135"/>
    <col min="5" max="5" width="17.33203125" style="135" customWidth="1"/>
    <col min="6" max="6" width="16.88671875" style="135" customWidth="1"/>
    <col min="7" max="7" width="15.6640625" style="135" customWidth="1"/>
    <col min="8" max="8" width="10.5546875" style="135" customWidth="1"/>
    <col min="9" max="10" width="9.109375" style="135" customWidth="1"/>
    <col min="11" max="13" width="17.5546875" style="135" customWidth="1"/>
    <col min="14" max="16384" width="9.109375" style="135"/>
  </cols>
  <sheetData>
    <row r="1" spans="1:15" x14ac:dyDescent="0.25">
      <c r="B1" s="135" t="s">
        <v>30</v>
      </c>
      <c r="C1" s="135" t="s">
        <v>31</v>
      </c>
      <c r="D1" s="135" t="s">
        <v>32</v>
      </c>
      <c r="E1" s="135" t="s">
        <v>33</v>
      </c>
      <c r="F1" s="135" t="s">
        <v>49</v>
      </c>
      <c r="J1" s="135" t="s">
        <v>23</v>
      </c>
      <c r="K1" s="135" t="s">
        <v>0</v>
      </c>
      <c r="L1" s="135" t="s">
        <v>42</v>
      </c>
      <c r="M1" s="135" t="s">
        <v>43</v>
      </c>
      <c r="O1" s="135" t="s">
        <v>50</v>
      </c>
    </row>
    <row r="2" spans="1:15" x14ac:dyDescent="0.25">
      <c r="D2" s="136"/>
      <c r="E2" s="136"/>
      <c r="F2" s="136"/>
      <c r="H2" s="135" t="s">
        <v>35</v>
      </c>
      <c r="I2" s="135" t="s">
        <v>34</v>
      </c>
      <c r="K2" s="137"/>
      <c r="L2" s="137"/>
      <c r="M2" s="137"/>
    </row>
    <row r="3" spans="1:15" x14ac:dyDescent="0.25">
      <c r="A3" s="135">
        <v>1</v>
      </c>
      <c r="B3" s="135">
        <v>2</v>
      </c>
      <c r="C3" s="135">
        <v>3</v>
      </c>
      <c r="D3" s="135">
        <v>4</v>
      </c>
      <c r="E3" s="135">
        <v>5</v>
      </c>
      <c r="F3" s="135">
        <v>6</v>
      </c>
      <c r="G3" s="135">
        <v>7</v>
      </c>
      <c r="H3" s="135">
        <v>8</v>
      </c>
      <c r="I3" s="135">
        <v>9</v>
      </c>
      <c r="J3" s="135">
        <v>10</v>
      </c>
      <c r="K3" s="135">
        <v>11</v>
      </c>
      <c r="L3" s="135">
        <v>12</v>
      </c>
      <c r="M3" s="135">
        <v>13</v>
      </c>
      <c r="N3" s="135">
        <v>14</v>
      </c>
      <c r="O3" s="135">
        <v>15</v>
      </c>
    </row>
    <row r="4" spans="1:15" s="139" customFormat="1" x14ac:dyDescent="0.25">
      <c r="A4" s="139" t="s">
        <v>61</v>
      </c>
      <c r="B4" s="197">
        <v>462963</v>
      </c>
      <c r="C4" s="139">
        <v>36</v>
      </c>
      <c r="D4" s="140">
        <v>0.60899999999999999</v>
      </c>
      <c r="E4" s="140">
        <v>0.08</v>
      </c>
      <c r="F4" s="140">
        <v>0</v>
      </c>
      <c r="G4" s="139" t="s">
        <v>78</v>
      </c>
      <c r="H4" s="139">
        <f t="shared" ref="H4:H19" si="0">B4+B4*E4</f>
        <v>500000.04</v>
      </c>
      <c r="J4" s="139">
        <v>3</v>
      </c>
      <c r="K4" s="141">
        <f t="shared" ref="K4:K19" si="1">D4/12/(1-1/POWER(1+D4/12,C4))*H4+H4*F4</f>
        <v>30508.913696736268</v>
      </c>
      <c r="L4" s="142">
        <f t="shared" ref="L4:L19" si="2">F4</f>
        <v>0</v>
      </c>
      <c r="M4" s="143">
        <v>0</v>
      </c>
      <c r="N4" s="139">
        <v>9259</v>
      </c>
      <c r="O4" s="175">
        <v>0.94099999999999995</v>
      </c>
    </row>
    <row r="5" spans="1:15" s="139" customFormat="1" x14ac:dyDescent="0.25">
      <c r="A5" s="139" t="s">
        <v>62</v>
      </c>
      <c r="B5" s="197">
        <v>462963</v>
      </c>
      <c r="C5" s="139">
        <v>24</v>
      </c>
      <c r="D5" s="140">
        <v>0.59599999999999997</v>
      </c>
      <c r="E5" s="140">
        <v>0.08</v>
      </c>
      <c r="F5" s="140">
        <v>0</v>
      </c>
      <c r="G5" s="139" t="s">
        <v>78</v>
      </c>
      <c r="H5" s="139">
        <f t="shared" si="0"/>
        <v>500000.04</v>
      </c>
      <c r="J5" s="139">
        <v>3</v>
      </c>
      <c r="K5" s="141">
        <f t="shared" si="1"/>
        <v>36118.048863111333</v>
      </c>
      <c r="L5" s="142">
        <f t="shared" si="2"/>
        <v>0</v>
      </c>
      <c r="M5" s="143">
        <v>0</v>
      </c>
      <c r="N5" s="139">
        <v>9259</v>
      </c>
      <c r="O5" s="175">
        <v>0.95799999999999996</v>
      </c>
    </row>
    <row r="6" spans="1:15" s="139" customFormat="1" x14ac:dyDescent="0.25">
      <c r="A6" s="139" t="s">
        <v>63</v>
      </c>
      <c r="B6" s="197">
        <v>462963</v>
      </c>
      <c r="C6" s="139">
        <v>18</v>
      </c>
      <c r="D6" s="140">
        <v>0.58299999999999996</v>
      </c>
      <c r="E6" s="140">
        <v>0.08</v>
      </c>
      <c r="F6" s="140">
        <v>0</v>
      </c>
      <c r="G6" s="139" t="s">
        <v>78</v>
      </c>
      <c r="H6" s="139">
        <f t="shared" si="0"/>
        <v>500000.04</v>
      </c>
      <c r="J6" s="139">
        <v>3</v>
      </c>
      <c r="K6" s="141">
        <f t="shared" si="1"/>
        <v>42300.995280736577</v>
      </c>
      <c r="L6" s="142">
        <f t="shared" si="2"/>
        <v>0</v>
      </c>
      <c r="M6" s="143">
        <v>0</v>
      </c>
      <c r="N6" s="139">
        <v>9259</v>
      </c>
      <c r="O6" s="175">
        <v>0.97599999999999998</v>
      </c>
    </row>
    <row r="7" spans="1:15" s="139" customFormat="1" x14ac:dyDescent="0.25">
      <c r="A7" s="139" t="s">
        <v>64</v>
      </c>
      <c r="B7" s="197">
        <v>462963</v>
      </c>
      <c r="C7" s="139">
        <v>12</v>
      </c>
      <c r="D7" s="140">
        <v>0.55800000000000005</v>
      </c>
      <c r="E7" s="140">
        <v>0.08</v>
      </c>
      <c r="F7" s="140">
        <v>0</v>
      </c>
      <c r="G7" s="139" t="s">
        <v>78</v>
      </c>
      <c r="H7" s="139">
        <f t="shared" si="0"/>
        <v>500000.04</v>
      </c>
      <c r="J7" s="139">
        <v>3</v>
      </c>
      <c r="K7" s="141">
        <f t="shared" si="1"/>
        <v>55304.622270463864</v>
      </c>
      <c r="L7" s="142">
        <f t="shared" si="2"/>
        <v>0</v>
      </c>
      <c r="M7" s="143">
        <v>0</v>
      </c>
      <c r="N7" s="139">
        <v>9259</v>
      </c>
      <c r="O7" s="175">
        <v>1.014</v>
      </c>
    </row>
    <row r="8" spans="1:15" s="139" customFormat="1" x14ac:dyDescent="0.25">
      <c r="A8" s="139" t="s">
        <v>68</v>
      </c>
      <c r="B8" s="197">
        <v>500000</v>
      </c>
      <c r="C8" s="139">
        <v>36</v>
      </c>
      <c r="D8" s="140">
        <v>0.67500000000000004</v>
      </c>
      <c r="E8" s="140">
        <v>0</v>
      </c>
      <c r="F8" s="140">
        <v>0</v>
      </c>
      <c r="G8" s="139" t="s">
        <v>78</v>
      </c>
      <c r="H8" s="139">
        <f t="shared" si="0"/>
        <v>500000</v>
      </c>
      <c r="J8" s="139">
        <v>3</v>
      </c>
      <c r="K8" s="141">
        <f t="shared" si="1"/>
        <v>32682.336621567705</v>
      </c>
      <c r="L8" s="142">
        <f t="shared" si="2"/>
        <v>0</v>
      </c>
      <c r="M8" s="143">
        <v>0</v>
      </c>
      <c r="N8" s="139">
        <v>9259</v>
      </c>
      <c r="O8" s="175">
        <v>0.92600000000000005</v>
      </c>
    </row>
    <row r="9" spans="1:15" s="139" customFormat="1" x14ac:dyDescent="0.25">
      <c r="A9" s="139" t="s">
        <v>65</v>
      </c>
      <c r="B9" s="197">
        <v>500000</v>
      </c>
      <c r="C9" s="139">
        <v>24</v>
      </c>
      <c r="D9" s="140">
        <v>0.6825</v>
      </c>
      <c r="E9" s="140">
        <v>0</v>
      </c>
      <c r="F9" s="140">
        <v>0</v>
      </c>
      <c r="G9" s="139" t="s">
        <v>78</v>
      </c>
      <c r="H9" s="139">
        <f t="shared" si="0"/>
        <v>500000</v>
      </c>
      <c r="J9" s="139">
        <v>3</v>
      </c>
      <c r="K9" s="141">
        <f t="shared" si="1"/>
        <v>38696.488992087114</v>
      </c>
      <c r="L9" s="142">
        <f t="shared" si="2"/>
        <v>0</v>
      </c>
      <c r="M9" s="143">
        <v>0</v>
      </c>
      <c r="N9" s="139">
        <v>9259</v>
      </c>
      <c r="O9" s="175">
        <v>0.93899999999999995</v>
      </c>
    </row>
    <row r="10" spans="1:15" s="139" customFormat="1" x14ac:dyDescent="0.25">
      <c r="A10" s="139" t="s">
        <v>66</v>
      </c>
      <c r="B10" s="197">
        <v>500000</v>
      </c>
      <c r="C10" s="139">
        <v>18</v>
      </c>
      <c r="D10" s="140">
        <v>0.69</v>
      </c>
      <c r="E10" s="140">
        <v>0</v>
      </c>
      <c r="F10" s="140">
        <v>0</v>
      </c>
      <c r="G10" s="139" t="s">
        <v>78</v>
      </c>
      <c r="H10" s="139">
        <f t="shared" si="0"/>
        <v>500000</v>
      </c>
      <c r="J10" s="139">
        <v>3</v>
      </c>
      <c r="K10" s="141">
        <f t="shared" si="1"/>
        <v>45315.226966939357</v>
      </c>
      <c r="L10" s="142">
        <f t="shared" si="2"/>
        <v>0</v>
      </c>
      <c r="M10" s="143">
        <v>0</v>
      </c>
      <c r="N10" s="139">
        <v>9259</v>
      </c>
      <c r="O10" s="175">
        <v>0.95199999999999996</v>
      </c>
    </row>
    <row r="11" spans="1:15" s="139" customFormat="1" x14ac:dyDescent="0.25">
      <c r="A11" s="139" t="s">
        <v>67</v>
      </c>
      <c r="B11" s="197">
        <v>500000</v>
      </c>
      <c r="C11" s="139">
        <v>12</v>
      </c>
      <c r="D11" s="140">
        <v>0.70499999999999996</v>
      </c>
      <c r="E11" s="140">
        <v>0</v>
      </c>
      <c r="F11" s="140">
        <v>0</v>
      </c>
      <c r="G11" s="139" t="s">
        <v>78</v>
      </c>
      <c r="H11" s="139">
        <f t="shared" si="0"/>
        <v>500000</v>
      </c>
      <c r="J11" s="139">
        <v>3</v>
      </c>
      <c r="K11" s="141">
        <f t="shared" si="1"/>
        <v>59230.49582454934</v>
      </c>
      <c r="L11" s="142">
        <f t="shared" si="2"/>
        <v>0</v>
      </c>
      <c r="M11" s="143">
        <v>0</v>
      </c>
      <c r="N11" s="139">
        <v>9259</v>
      </c>
      <c r="O11" s="175">
        <v>0.97899999999999998</v>
      </c>
    </row>
    <row r="12" spans="1:15" s="139" customFormat="1" x14ac:dyDescent="0.25">
      <c r="A12" s="139" t="s">
        <v>69</v>
      </c>
      <c r="B12" s="197">
        <v>462963</v>
      </c>
      <c r="C12" s="139">
        <v>36</v>
      </c>
      <c r="D12" s="140">
        <v>0.625</v>
      </c>
      <c r="E12" s="140">
        <v>0.08</v>
      </c>
      <c r="F12" s="140">
        <v>0</v>
      </c>
      <c r="G12" s="139" t="s">
        <v>78</v>
      </c>
      <c r="H12" s="139">
        <f t="shared" si="0"/>
        <v>500000.04</v>
      </c>
      <c r="J12" s="139">
        <v>3</v>
      </c>
      <c r="K12" s="141">
        <f t="shared" si="1"/>
        <v>31030.293220529085</v>
      </c>
      <c r="L12" s="142">
        <f t="shared" si="2"/>
        <v>0</v>
      </c>
      <c r="M12" s="143">
        <v>0</v>
      </c>
      <c r="N12" s="139">
        <v>9259</v>
      </c>
      <c r="O12" s="175">
        <v>0.97099999999999997</v>
      </c>
    </row>
    <row r="13" spans="1:15" s="139" customFormat="1" x14ac:dyDescent="0.25">
      <c r="A13" s="139" t="s">
        <v>70</v>
      </c>
      <c r="B13" s="197">
        <v>462963</v>
      </c>
      <c r="C13" s="139">
        <v>24</v>
      </c>
      <c r="D13" s="140">
        <v>0.61699999999999999</v>
      </c>
      <c r="E13" s="140">
        <v>0.08</v>
      </c>
      <c r="F13" s="140">
        <v>0</v>
      </c>
      <c r="G13" s="139" t="s">
        <v>78</v>
      </c>
      <c r="H13" s="139">
        <f t="shared" si="0"/>
        <v>500000.04</v>
      </c>
      <c r="J13" s="139">
        <v>3</v>
      </c>
      <c r="K13" s="141">
        <f t="shared" si="1"/>
        <v>36736.42630911796</v>
      </c>
      <c r="L13" s="142">
        <f t="shared" si="2"/>
        <v>0</v>
      </c>
      <c r="M13" s="143">
        <v>0</v>
      </c>
      <c r="N13" s="139">
        <v>9259</v>
      </c>
      <c r="O13" s="175">
        <v>0.999</v>
      </c>
    </row>
    <row r="14" spans="1:15" s="139" customFormat="1" x14ac:dyDescent="0.25">
      <c r="A14" s="139" t="s">
        <v>71</v>
      </c>
      <c r="B14" s="197">
        <v>462963</v>
      </c>
      <c r="C14" s="139">
        <v>18</v>
      </c>
      <c r="D14" s="140">
        <v>0.61</v>
      </c>
      <c r="E14" s="140">
        <v>0.08</v>
      </c>
      <c r="F14" s="140">
        <v>0</v>
      </c>
      <c r="G14" s="139" t="s">
        <v>78</v>
      </c>
      <c r="H14" s="139">
        <f t="shared" si="0"/>
        <v>500000.04</v>
      </c>
      <c r="J14" s="139">
        <v>3</v>
      </c>
      <c r="K14" s="141">
        <f t="shared" si="1"/>
        <v>43052.039848389555</v>
      </c>
      <c r="L14" s="142">
        <f t="shared" si="2"/>
        <v>0</v>
      </c>
      <c r="M14" s="143">
        <v>0</v>
      </c>
      <c r="N14" s="139">
        <v>9259</v>
      </c>
      <c r="O14" s="175">
        <v>1.0289999999999999</v>
      </c>
    </row>
    <row r="15" spans="1:15" s="139" customFormat="1" x14ac:dyDescent="0.25">
      <c r="A15" s="139" t="s">
        <v>75</v>
      </c>
      <c r="B15" s="197">
        <v>462963</v>
      </c>
      <c r="C15" s="139">
        <v>12</v>
      </c>
      <c r="D15" s="140">
        <v>0.59299999999999997</v>
      </c>
      <c r="E15" s="140">
        <v>0.08</v>
      </c>
      <c r="F15" s="140">
        <v>0</v>
      </c>
      <c r="G15" s="139" t="s">
        <v>78</v>
      </c>
      <c r="H15" s="139">
        <f t="shared" si="0"/>
        <v>500000.04</v>
      </c>
      <c r="J15" s="139">
        <v>3</v>
      </c>
      <c r="K15" s="141">
        <f t="shared" si="1"/>
        <v>56227.266642431649</v>
      </c>
      <c r="L15" s="142">
        <f t="shared" si="2"/>
        <v>0</v>
      </c>
      <c r="M15" s="143">
        <v>0</v>
      </c>
      <c r="N15" s="139">
        <v>9259</v>
      </c>
      <c r="O15" s="175">
        <v>1.0840000000000001</v>
      </c>
    </row>
    <row r="16" spans="1:15" s="139" customFormat="1" x14ac:dyDescent="0.25">
      <c r="A16" s="139" t="s">
        <v>73</v>
      </c>
      <c r="B16" s="197">
        <v>500000</v>
      </c>
      <c r="C16" s="139">
        <v>36</v>
      </c>
      <c r="D16" s="140">
        <v>0.69</v>
      </c>
      <c r="E16" s="140">
        <v>0</v>
      </c>
      <c r="F16" s="140">
        <v>0</v>
      </c>
      <c r="G16" s="139" t="s">
        <v>78</v>
      </c>
      <c r="H16" s="139">
        <f t="shared" si="0"/>
        <v>500000</v>
      </c>
      <c r="J16" s="139">
        <v>3</v>
      </c>
      <c r="K16" s="141">
        <f t="shared" si="1"/>
        <v>33184.465602974204</v>
      </c>
      <c r="L16" s="142">
        <f t="shared" si="2"/>
        <v>0</v>
      </c>
      <c r="M16" s="143">
        <v>0</v>
      </c>
      <c r="N16" s="139">
        <v>9259</v>
      </c>
      <c r="O16" s="175">
        <v>0.95299999999999996</v>
      </c>
    </row>
    <row r="17" spans="1:15" s="139" customFormat="1" x14ac:dyDescent="0.25">
      <c r="A17" s="139" t="s">
        <v>74</v>
      </c>
      <c r="B17" s="197">
        <v>500000</v>
      </c>
      <c r="C17" s="139">
        <v>24</v>
      </c>
      <c r="D17" s="140">
        <v>0.70250000000000001</v>
      </c>
      <c r="E17" s="140">
        <v>0</v>
      </c>
      <c r="F17" s="140">
        <v>0</v>
      </c>
      <c r="G17" s="139" t="s">
        <v>78</v>
      </c>
      <c r="H17" s="139">
        <f t="shared" si="0"/>
        <v>500000</v>
      </c>
      <c r="J17" s="139">
        <v>3</v>
      </c>
      <c r="K17" s="141">
        <f t="shared" si="1"/>
        <v>39304.240219877982</v>
      </c>
      <c r="L17" s="142">
        <f t="shared" si="2"/>
        <v>0</v>
      </c>
      <c r="M17" s="143">
        <v>0</v>
      </c>
      <c r="N17" s="139">
        <v>9259</v>
      </c>
      <c r="O17" s="175">
        <v>0.97599999999999998</v>
      </c>
    </row>
    <row r="18" spans="1:15" s="139" customFormat="1" x14ac:dyDescent="0.25">
      <c r="A18" s="139" t="s">
        <v>76</v>
      </c>
      <c r="B18" s="197">
        <v>500000</v>
      </c>
      <c r="C18" s="139">
        <v>18</v>
      </c>
      <c r="D18" s="140">
        <v>0.71499999999999997</v>
      </c>
      <c r="E18" s="140">
        <v>0</v>
      </c>
      <c r="F18" s="140">
        <v>0</v>
      </c>
      <c r="G18" s="139" t="s">
        <v>78</v>
      </c>
      <c r="H18" s="139">
        <f t="shared" si="0"/>
        <v>500000</v>
      </c>
      <c r="J18" s="139">
        <v>3</v>
      </c>
      <c r="K18" s="141">
        <f t="shared" si="1"/>
        <v>46033.893781828039</v>
      </c>
      <c r="L18" s="142">
        <f t="shared" si="2"/>
        <v>0</v>
      </c>
      <c r="M18" s="143">
        <v>0</v>
      </c>
      <c r="N18" s="139">
        <v>9259</v>
      </c>
      <c r="O18" s="175">
        <v>0.998</v>
      </c>
    </row>
    <row r="19" spans="1:15" s="139" customFormat="1" x14ac:dyDescent="0.25">
      <c r="A19" s="139" t="s">
        <v>72</v>
      </c>
      <c r="B19" s="197">
        <v>500000</v>
      </c>
      <c r="C19" s="139">
        <v>12</v>
      </c>
      <c r="D19" s="140">
        <v>0.74</v>
      </c>
      <c r="E19" s="140">
        <v>0</v>
      </c>
      <c r="F19" s="140">
        <v>0</v>
      </c>
      <c r="G19" s="139" t="s">
        <v>78</v>
      </c>
      <c r="H19" s="139">
        <f t="shared" si="0"/>
        <v>500000</v>
      </c>
      <c r="J19" s="139">
        <v>3</v>
      </c>
      <c r="K19" s="141">
        <f t="shared" si="1"/>
        <v>60184.64576027092</v>
      </c>
      <c r="L19" s="142">
        <f t="shared" si="2"/>
        <v>0</v>
      </c>
      <c r="M19" s="143">
        <v>0</v>
      </c>
      <c r="N19" s="139">
        <v>9259</v>
      </c>
      <c r="O19" s="175">
        <v>1.046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H31"/>
  <sheetViews>
    <sheetView zoomScale="90" zoomScaleNormal="90" workbookViewId="0">
      <selection sqref="A1:D1"/>
    </sheetView>
  </sheetViews>
  <sheetFormatPr defaultRowHeight="13.2" x14ac:dyDescent="0.25"/>
  <cols>
    <col min="1" max="1" width="48" customWidth="1"/>
    <col min="3" max="3" width="21.109375" customWidth="1"/>
    <col min="4" max="4" width="22.33203125" customWidth="1"/>
    <col min="5" max="5" width="14.44140625" customWidth="1"/>
    <col min="7" max="7" width="10.44140625" customWidth="1"/>
    <col min="10" max="10" width="56.21875" customWidth="1"/>
  </cols>
  <sheetData>
    <row r="1" spans="1:8" ht="21.6" thickBot="1" x14ac:dyDescent="0.3">
      <c r="A1" s="245" t="s">
        <v>24</v>
      </c>
      <c r="B1" s="246"/>
      <c r="C1" s="246"/>
      <c r="D1" s="247"/>
      <c r="E1" s="79">
        <v>5000</v>
      </c>
      <c r="F1" s="80" t="s">
        <v>19</v>
      </c>
      <c r="G1" s="80" t="s">
        <v>18</v>
      </c>
      <c r="H1" s="81"/>
    </row>
    <row r="2" spans="1:8" x14ac:dyDescent="0.25">
      <c r="A2" s="82"/>
      <c r="B2" s="5"/>
      <c r="C2" s="82"/>
      <c r="D2" s="5"/>
      <c r="E2" s="83"/>
      <c r="F2" s="84"/>
      <c r="G2" s="85"/>
      <c r="H2" s="5"/>
    </row>
    <row r="3" spans="1:8" x14ac:dyDescent="0.25">
      <c r="A3" s="240" t="s">
        <v>4</v>
      </c>
      <c r="B3" s="241"/>
      <c r="C3" s="241"/>
      <c r="D3" s="242"/>
      <c r="E3" s="9"/>
      <c r="F3" s="10"/>
      <c r="G3" s="9"/>
      <c r="H3" s="81"/>
    </row>
    <row r="4" spans="1:8" x14ac:dyDescent="0.25">
      <c r="A4" s="82"/>
      <c r="B4" s="5"/>
      <c r="C4" s="82"/>
      <c r="D4" s="5"/>
      <c r="E4" s="87"/>
      <c r="F4" s="84"/>
      <c r="G4" s="85"/>
      <c r="H4" s="5"/>
    </row>
    <row r="5" spans="1:8" x14ac:dyDescent="0.25">
      <c r="A5" s="240" t="s">
        <v>47</v>
      </c>
      <c r="B5" s="241"/>
      <c r="C5" s="241"/>
      <c r="D5" s="242"/>
      <c r="E5" s="9"/>
      <c r="F5" s="10"/>
      <c r="G5" s="10"/>
      <c r="H5" s="81"/>
    </row>
    <row r="6" spans="1:8" x14ac:dyDescent="0.25">
      <c r="A6" s="82"/>
      <c r="B6" s="5"/>
      <c r="C6" s="82"/>
      <c r="D6" s="5"/>
      <c r="E6" s="88"/>
      <c r="F6" s="84"/>
      <c r="G6" s="85"/>
      <c r="H6" s="5"/>
    </row>
    <row r="7" spans="1:8" x14ac:dyDescent="0.25">
      <c r="A7" s="240" t="s">
        <v>25</v>
      </c>
      <c r="B7" s="241"/>
      <c r="C7" s="241"/>
      <c r="D7" s="242"/>
      <c r="E7" s="9"/>
      <c r="F7" s="10"/>
      <c r="G7" s="10"/>
      <c r="H7" s="81"/>
    </row>
    <row r="8" spans="1:8" x14ac:dyDescent="0.25">
      <c r="A8" s="82"/>
      <c r="B8" s="5"/>
      <c r="C8" s="82"/>
      <c r="D8" s="5"/>
      <c r="E8" s="87"/>
      <c r="F8" s="84"/>
      <c r="G8" s="85"/>
      <c r="H8" s="5"/>
    </row>
    <row r="9" spans="1:8" x14ac:dyDescent="0.25">
      <c r="A9" s="240" t="s">
        <v>3</v>
      </c>
      <c r="B9" s="241"/>
      <c r="C9" s="241"/>
      <c r="D9" s="242"/>
      <c r="E9" s="89"/>
      <c r="F9" s="10"/>
      <c r="G9" s="10"/>
      <c r="H9" s="81"/>
    </row>
    <row r="10" spans="1:8" x14ac:dyDescent="0.25">
      <c r="A10" s="90"/>
      <c r="B10" s="11"/>
      <c r="C10" s="90"/>
      <c r="D10" s="91"/>
      <c r="E10" s="56"/>
      <c r="F10" s="84"/>
      <c r="G10" s="92"/>
      <c r="H10" s="11"/>
    </row>
    <row r="11" spans="1:8" x14ac:dyDescent="0.25">
      <c r="A11" s="90"/>
      <c r="B11" s="11"/>
      <c r="C11" s="90"/>
      <c r="D11" s="93"/>
      <c r="E11" s="56"/>
      <c r="F11" s="84"/>
      <c r="G11" s="94"/>
      <c r="H11" s="11"/>
    </row>
    <row r="12" spans="1:8" x14ac:dyDescent="0.25">
      <c r="A12" s="240" t="s">
        <v>48</v>
      </c>
      <c r="B12" s="241"/>
      <c r="C12" s="241"/>
      <c r="D12" s="242"/>
      <c r="E12" s="12"/>
      <c r="F12" s="12"/>
      <c r="G12" s="13"/>
      <c r="H12" s="11"/>
    </row>
    <row r="13" spans="1:8" x14ac:dyDescent="0.25">
      <c r="A13" s="59"/>
      <c r="B13" s="59"/>
      <c r="C13" s="59"/>
      <c r="D13" s="59"/>
      <c r="E13" s="95"/>
      <c r="F13" s="96"/>
      <c r="G13" s="97"/>
      <c r="H13" s="11"/>
    </row>
    <row r="14" spans="1:8" x14ac:dyDescent="0.25">
      <c r="A14" s="240" t="s">
        <v>44</v>
      </c>
      <c r="B14" s="241"/>
      <c r="C14" s="241"/>
      <c r="D14" s="242"/>
      <c r="E14" s="77"/>
      <c r="F14" s="78"/>
      <c r="G14" s="13"/>
      <c r="H14" s="11"/>
    </row>
    <row r="15" spans="1:8" x14ac:dyDescent="0.25">
      <c r="A15" s="86"/>
      <c r="B15" s="86"/>
      <c r="C15" s="86"/>
      <c r="D15" s="86"/>
      <c r="E15" s="98"/>
      <c r="F15" s="96"/>
      <c r="G15" s="97"/>
      <c r="H15" s="11"/>
    </row>
    <row r="16" spans="1:8" x14ac:dyDescent="0.25">
      <c r="A16" s="240" t="s">
        <v>45</v>
      </c>
      <c r="B16" s="241"/>
      <c r="C16" s="241"/>
      <c r="D16" s="242"/>
      <c r="E16" s="17"/>
      <c r="F16" s="10"/>
      <c r="G16" s="10"/>
      <c r="H16" s="11"/>
    </row>
    <row r="17" spans="1:8" x14ac:dyDescent="0.25">
      <c r="A17" s="59"/>
      <c r="B17" s="59"/>
      <c r="C17" s="59"/>
      <c r="D17" s="59"/>
      <c r="E17" s="99"/>
      <c r="F17" s="96"/>
      <c r="G17" s="97"/>
      <c r="H17" s="11"/>
    </row>
    <row r="18" spans="1:8" ht="30.6" x14ac:dyDescent="0.25">
      <c r="A18" s="243" t="s">
        <v>10</v>
      </c>
      <c r="B18" s="244"/>
      <c r="C18" s="100" t="s">
        <v>0</v>
      </c>
      <c r="D18" s="101" t="s">
        <v>38</v>
      </c>
      <c r="E18" s="102" t="s">
        <v>21</v>
      </c>
      <c r="F18" s="102" t="s">
        <v>20</v>
      </c>
      <c r="G18" s="102" t="s">
        <v>22</v>
      </c>
      <c r="H18" s="102" t="s">
        <v>37</v>
      </c>
    </row>
    <row r="19" spans="1:8" x14ac:dyDescent="0.25">
      <c r="A19" s="223" t="s">
        <v>29</v>
      </c>
      <c r="B19" s="224"/>
      <c r="C19" s="45">
        <f>IF(ISERROR(L16),"",L16)</f>
        <v>0</v>
      </c>
      <c r="D19" s="45">
        <f>IF(ISERROR(L12),"",L12)</f>
        <v>0</v>
      </c>
      <c r="E19" s="74">
        <f>IF(ISERROR(L14),"",L14)</f>
        <v>0</v>
      </c>
      <c r="F19" s="20" t="str">
        <f>IF(ISERROR(D19/#REF!),"",D19/#REF!)</f>
        <v/>
      </c>
      <c r="G19" s="21" t="str">
        <f>IF(ISERROR(D19/#REF!/F$3),"",D19/#REF!/F$3)</f>
        <v/>
      </c>
      <c r="H19" s="21" t="str">
        <f>IF(ISERROR(C19/F$3),"",C19/F$3)</f>
        <v/>
      </c>
    </row>
    <row r="20" spans="1:8" x14ac:dyDescent="0.25">
      <c r="A20" s="223" t="s">
        <v>11</v>
      </c>
      <c r="B20" s="224"/>
      <c r="C20" s="46">
        <f>IF(ISERROR(M16),"",M16)</f>
        <v>0</v>
      </c>
      <c r="D20" s="46">
        <f>IF(ISERROR(M12),"",M12)</f>
        <v>0</v>
      </c>
      <c r="E20" s="75">
        <f>IF(ISERROR(M14),"",M14)</f>
        <v>0</v>
      </c>
      <c r="F20" s="20" t="str">
        <f>IF(ISERROR(D20/#REF!),"",D20/#REF!)</f>
        <v/>
      </c>
      <c r="G20" s="21" t="str">
        <f>IF(ISERROR(D20/#REF!/F$3),"",D20/#REF!/F$3)</f>
        <v/>
      </c>
      <c r="H20" s="21" t="str">
        <f>IF(ISERROR(C20/F$3),"",C20/F$3)</f>
        <v/>
      </c>
    </row>
    <row r="21" spans="1:8" x14ac:dyDescent="0.25">
      <c r="A21" s="223" t="s">
        <v>27</v>
      </c>
      <c r="B21" s="224"/>
      <c r="C21" s="46">
        <f>IF(ISERROR(N16),"",N16)</f>
        <v>0</v>
      </c>
      <c r="D21" s="46">
        <f>IF(ISERROR(N12),"",N12)</f>
        <v>0</v>
      </c>
      <c r="E21" s="75">
        <f>IF(ISERROR(N14),"",N14)</f>
        <v>0</v>
      </c>
      <c r="F21" s="20" t="str">
        <f>IF(ISERROR(D21/#REF!),"",D21/#REF!)</f>
        <v/>
      </c>
      <c r="G21" s="21" t="str">
        <f>IF(ISERROR(D21/#REF!/F$3),"",D21/#REF!/F$3)</f>
        <v/>
      </c>
      <c r="H21" s="21" t="str">
        <f>IF(ISERROR(C21/F$3),"",C21/F$3)</f>
        <v/>
      </c>
    </row>
    <row r="22" spans="1:8" x14ac:dyDescent="0.25">
      <c r="A22" s="223" t="s">
        <v>28</v>
      </c>
      <c r="B22" s="224"/>
      <c r="C22" s="46">
        <f>IF(ISERROR(O16),"",O16)</f>
        <v>0</v>
      </c>
      <c r="D22" s="46">
        <f>IF(ISERROR(O12),"",O12)</f>
        <v>0</v>
      </c>
      <c r="E22" s="75">
        <f>IF(ISERROR(O14),"",O14)</f>
        <v>0</v>
      </c>
      <c r="F22" s="20" t="str">
        <f>IF(ISERROR(D22/#REF!),"",D22/#REF!)</f>
        <v/>
      </c>
      <c r="G22" s="21" t="str">
        <f>IF(ISERROR(D22/#REF!/F$3),"",D22/#REF!/F$3)</f>
        <v/>
      </c>
      <c r="H22" s="21" t="str">
        <f>IF(ISERROR(C22/F$3),"",C22/F$3)</f>
        <v/>
      </c>
    </row>
    <row r="23" spans="1:8" x14ac:dyDescent="0.25">
      <c r="A23" s="82"/>
      <c r="B23" s="59"/>
      <c r="C23" s="82"/>
      <c r="D23" s="103"/>
      <c r="E23" s="104"/>
      <c r="F23" s="105"/>
      <c r="G23" s="84"/>
      <c r="H23" s="8"/>
    </row>
    <row r="24" spans="1:8" ht="13.8" thickBot="1" x14ac:dyDescent="0.3">
      <c r="A24" s="106"/>
      <c r="B24" s="59"/>
      <c r="C24" s="106"/>
      <c r="D24" s="107"/>
      <c r="E24" s="108"/>
      <c r="F24" s="97"/>
      <c r="G24" s="96"/>
      <c r="H24" s="11"/>
    </row>
    <row r="25" spans="1:8" ht="18" thickBot="1" x14ac:dyDescent="0.3">
      <c r="A25" s="233" t="s">
        <v>46</v>
      </c>
      <c r="B25" s="234"/>
      <c r="C25" s="234"/>
      <c r="D25" s="234"/>
      <c r="E25" s="234"/>
      <c r="F25" s="234"/>
      <c r="G25" s="235"/>
      <c r="H25" s="81"/>
    </row>
    <row r="26" spans="1:8" ht="41.4" thickBot="1" x14ac:dyDescent="0.3">
      <c r="A26" s="236" t="s">
        <v>2</v>
      </c>
      <c r="B26" s="237"/>
      <c r="C26" s="109" t="s">
        <v>6</v>
      </c>
      <c r="D26" s="109" t="s">
        <v>26</v>
      </c>
      <c r="E26" s="109" t="s">
        <v>7</v>
      </c>
      <c r="F26" s="238" t="s">
        <v>5</v>
      </c>
      <c r="G26" s="239"/>
      <c r="H26" s="81"/>
    </row>
    <row r="27" spans="1:8" x14ac:dyDescent="0.25">
      <c r="A27" s="5"/>
      <c r="B27" s="5"/>
      <c r="C27" s="5"/>
      <c r="D27" s="5"/>
      <c r="E27" s="5"/>
      <c r="F27" s="85"/>
      <c r="G27" s="84"/>
      <c r="H27" s="81"/>
    </row>
    <row r="28" spans="1:8" x14ac:dyDescent="0.25">
      <c r="A28" s="5" t="s">
        <v>8</v>
      </c>
      <c r="B28" s="110"/>
      <c r="C28" s="111"/>
      <c r="D28" s="232"/>
      <c r="E28" s="232"/>
      <c r="F28" s="232"/>
      <c r="G28" s="84"/>
      <c r="H28" s="81"/>
    </row>
    <row r="29" spans="1:8" x14ac:dyDescent="0.25">
      <c r="A29" s="5" t="s">
        <v>9</v>
      </c>
      <c r="B29" s="112"/>
      <c r="C29" s="5"/>
      <c r="D29" s="39"/>
      <c r="E29" s="40"/>
      <c r="F29" s="113"/>
      <c r="G29" s="84"/>
      <c r="H29" s="81"/>
    </row>
    <row r="30" spans="1:8" x14ac:dyDescent="0.25">
      <c r="A30" s="38"/>
      <c r="B30" s="38"/>
      <c r="C30" s="38"/>
      <c r="D30" s="38"/>
      <c r="E30" s="38"/>
      <c r="F30" s="38"/>
      <c r="G30" s="38"/>
      <c r="H30" s="38"/>
    </row>
    <row r="31" spans="1:8" x14ac:dyDescent="0.25">
      <c r="A31" t="s">
        <v>39</v>
      </c>
      <c r="B31">
        <v>30.4</v>
      </c>
    </row>
  </sheetData>
  <mergeCells count="17">
    <mergeCell ref="A12:D12"/>
    <mergeCell ref="A14:D14"/>
    <mergeCell ref="A16:D16"/>
    <mergeCell ref="A18:B18"/>
    <mergeCell ref="A1:D1"/>
    <mergeCell ref="A3:D3"/>
    <mergeCell ref="A5:D5"/>
    <mergeCell ref="A7:D7"/>
    <mergeCell ref="A9:D9"/>
    <mergeCell ref="A19:B19"/>
    <mergeCell ref="A20:B20"/>
    <mergeCell ref="D28:F28"/>
    <mergeCell ref="A22:B22"/>
    <mergeCell ref="A25:G25"/>
    <mergeCell ref="A26:B26"/>
    <mergeCell ref="F26:G26"/>
    <mergeCell ref="A21:B2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23" sqref="E23"/>
    </sheetView>
  </sheetViews>
  <sheetFormatPr defaultRowHeight="13.2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Мікрокредит для ФОП</vt:lpstr>
      <vt:lpstr>Лист2</vt:lpstr>
      <vt:lpstr>Назви</vt:lpstr>
      <vt:lpstr>Лист1</vt:lpstr>
      <vt:lpstr>'Мікрокредит для ФОП'!Область_печати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VRusak</dc:creator>
  <cp:lastModifiedBy>Крупська Наталія</cp:lastModifiedBy>
  <cp:lastPrinted>2020-06-15T12:38:02Z</cp:lastPrinted>
  <dcterms:created xsi:type="dcterms:W3CDTF">2008-03-13T06:51:50Z</dcterms:created>
  <dcterms:modified xsi:type="dcterms:W3CDTF">2024-03-04T17:18:55Z</dcterms:modified>
</cp:coreProperties>
</file>