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1"/>
  </bookViews>
  <sheets>
    <sheet name="СВ White XL i XXL_без страховки" sheetId="9" r:id="rId1"/>
    <sheet name="СВ White XL i XXL_зі страховкою" sheetId="10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9" l="1"/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G13" i="10" s="1"/>
  <c r="I14" i="10" l="1"/>
  <c r="B9" i="10"/>
  <c r="C13" i="10"/>
  <c r="H14" i="10" s="1"/>
  <c r="E14" i="10"/>
  <c r="G26" i="10"/>
  <c r="D14" i="10" l="1"/>
  <c r="C14" i="10" l="1"/>
  <c r="F14" i="10"/>
  <c r="I38" i="10" l="1"/>
  <c r="H15" i="10"/>
  <c r="I15" i="10"/>
  <c r="E15" i="10"/>
  <c r="D15" i="10" l="1"/>
  <c r="C15" i="10" l="1"/>
  <c r="F15" i="10"/>
  <c r="I16" i="10" l="1"/>
  <c r="H16" i="10"/>
  <c r="E16" i="10"/>
  <c r="D16" i="10" s="1"/>
  <c r="F16" i="10" s="1"/>
  <c r="H17" i="10" l="1"/>
  <c r="I17" i="10"/>
  <c r="E17" i="10"/>
  <c r="C16" i="10"/>
  <c r="D17" i="10" l="1"/>
  <c r="F17" i="10" s="1"/>
  <c r="C17" i="10" l="1"/>
  <c r="I18" i="10"/>
  <c r="H18" i="10"/>
  <c r="E18" i="10"/>
  <c r="D18" i="10" l="1"/>
  <c r="C18" i="10" s="1"/>
  <c r="F18" i="10" l="1"/>
  <c r="H19" i="10" s="1"/>
  <c r="E19" i="10" l="1"/>
  <c r="I19" i="10"/>
  <c r="D19" i="10" l="1"/>
  <c r="F19" i="10" s="1"/>
  <c r="I20" i="10" s="1"/>
  <c r="C19" i="10" l="1"/>
  <c r="E20" i="10"/>
  <c r="H20" i="10"/>
  <c r="D20" i="10" l="1"/>
  <c r="F20" i="10" s="1"/>
  <c r="H21" i="10" s="1"/>
  <c r="I21" i="10" l="1"/>
  <c r="E21" i="10"/>
  <c r="D21" i="10" s="1"/>
  <c r="C21" i="10" s="1"/>
  <c r="C20" i="10"/>
  <c r="F21" i="10" l="1"/>
  <c r="I22" i="10" s="1"/>
  <c r="E22" i="10" l="1"/>
  <c r="H22" i="10"/>
  <c r="D22" i="10" l="1"/>
  <c r="C22" i="10" s="1"/>
  <c r="F22" i="10" l="1"/>
  <c r="I23" i="10" s="1"/>
  <c r="H23" i="10" l="1"/>
  <c r="E23" i="10"/>
  <c r="D23" i="10" l="1"/>
  <c r="C23" i="10" s="1"/>
  <c r="F23" i="10" l="1"/>
  <c r="I24" i="10" s="1"/>
  <c r="H24" i="10"/>
  <c r="E24" i="10" l="1"/>
  <c r="D24" i="10"/>
  <c r="C24" i="10" s="1"/>
  <c r="F24" i="10" l="1"/>
  <c r="H25" i="10" s="1"/>
  <c r="H26" i="10" s="1"/>
  <c r="I25" i="10" l="1"/>
  <c r="I26" i="10" s="1"/>
  <c r="E25" i="10"/>
  <c r="E26" i="10" s="1"/>
  <c r="L26" i="10" l="1"/>
  <c r="I40" i="10" s="1"/>
  <c r="D25" i="10"/>
  <c r="I32" i="9"/>
  <c r="F25" i="10" l="1"/>
  <c r="C25" i="10" s="1"/>
  <c r="D26" i="10"/>
  <c r="G14" i="9"/>
  <c r="J26" i="10" l="1"/>
  <c r="I44" i="10" s="1"/>
  <c r="C26" i="10"/>
  <c r="K26" i="10" s="1"/>
  <c r="I42" i="10" s="1"/>
  <c r="G13" i="9"/>
  <c r="B9" i="9" l="1"/>
  <c r="I14" i="9"/>
  <c r="C13" i="9"/>
  <c r="B10" i="9"/>
  <c r="B3" i="9" s="1"/>
  <c r="E14" i="9" s="1"/>
  <c r="D14" i="9" l="1"/>
  <c r="G25" i="9"/>
  <c r="G24" i="9"/>
  <c r="G23" i="9"/>
  <c r="G22" i="9"/>
  <c r="G21" i="9"/>
  <c r="G20" i="9"/>
  <c r="G19" i="9"/>
  <c r="G18" i="9"/>
  <c r="G17" i="9"/>
  <c r="G16" i="9"/>
  <c r="G15" i="9"/>
  <c r="F14" i="9" l="1"/>
  <c r="H14" i="9"/>
  <c r="C14" i="9" s="1"/>
  <c r="G26" i="9"/>
  <c r="I36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l="1"/>
  <c r="H18" i="9"/>
  <c r="I18" i="9"/>
  <c r="D18" i="9" l="1"/>
  <c r="C18" i="9" s="1"/>
  <c r="F18" i="9" l="1"/>
  <c r="I19" i="9" s="1"/>
  <c r="E19" i="9" l="1"/>
  <c r="H19" i="9"/>
  <c r="D19" i="9" l="1"/>
  <c r="C19" i="9" s="1"/>
  <c r="F19" i="9" l="1"/>
  <c r="E20" i="9" s="1"/>
  <c r="I20" i="9" l="1"/>
  <c r="H20" i="9"/>
  <c r="D20" i="9" l="1"/>
  <c r="C20" i="9" s="1"/>
  <c r="F20" i="9" l="1"/>
  <c r="H21" i="9" s="1"/>
  <c r="I21" i="9"/>
  <c r="E21" i="9" l="1"/>
  <c r="D21" i="9" s="1"/>
  <c r="F21" i="9" s="1"/>
  <c r="H22" i="9" l="1"/>
  <c r="I22" i="9"/>
  <c r="C21" i="9"/>
  <c r="E22" i="9"/>
  <c r="D22" i="9" s="1"/>
  <c r="C22" i="9" s="1"/>
  <c r="F22" i="9" l="1"/>
  <c r="I23" i="9" s="1"/>
  <c r="E23" i="9" l="1"/>
  <c r="H23" i="9"/>
  <c r="D23" i="9" l="1"/>
  <c r="C23" i="9" s="1"/>
  <c r="F23" i="9" l="1"/>
  <c r="I24" i="9" s="1"/>
  <c r="E24" i="9" l="1"/>
  <c r="H24" i="9"/>
  <c r="D24" i="9" l="1"/>
  <c r="F24" i="9" s="1"/>
  <c r="E25" i="9" s="1"/>
  <c r="E26" i="9" s="1"/>
  <c r="I25" i="9" l="1"/>
  <c r="I26" i="9" s="1"/>
  <c r="H25" i="9"/>
  <c r="H26" i="9" s="1"/>
  <c r="L26" i="9" s="1"/>
  <c r="I38" i="9" s="1"/>
  <c r="C24" i="9"/>
  <c r="D25" i="9" l="1"/>
  <c r="F25" i="9" s="1"/>
  <c r="C25" i="9" s="1"/>
  <c r="J26" i="9" s="1"/>
  <c r="I42" i="9" s="1"/>
  <c r="C26" i="9" l="1"/>
  <c r="K26" i="9" s="1"/>
  <c r="I40" i="9" s="1"/>
  <c r="D26" i="9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<sst xmlns="http://schemas.openxmlformats.org/spreadsheetml/2006/main" count="82" uniqueCount="38">
  <si>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</si>
  <si>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</si>
  <si>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</si>
  <si>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</si>
  <si>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</si>
  <si>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</si>
  <si>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</si>
  <si>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</si>
  <si>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</si>
  <si>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</si>
  <si>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</si>
  <si>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</si>
  <si>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</si>
  <si>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</si>
  <si>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</si>
  <si>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</si>
  <si>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</si>
  <si>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</si>
  <si>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</si>
  <si>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</si>
  <si>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</si>
  <si>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</si>
  <si>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</si>
  <si>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</si>
  <si>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</si>
  <si>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</si>
  <si>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</si>
  <si>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Добровільне страхування життя (щомісячно від розміру заборгованості)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</si>
  <si>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</si>
  <si>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</si>
  <si>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</si>
  <si>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</si>
  <si>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</si>
  <si>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</si>
  <si>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</si>
  <si>
    <t>Комісія за знаття кредитних коштів готівкою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</si>
  <si>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коштыв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</si>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</sst>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0" fontId="7" fillId="5" borderId="0" xfId="0" applyFont="1" applyFill="1" applyBorder="1" applyAlignment="1" applyProtection="1">
      <alignment horizontal="center" vertical="top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164" fontId="0" fillId="2" borderId="0" xfId="0" applyNumberFormat="1" applyFill="1" applyBorder="1" applyProtection="1"/>
    <xf numFmtId="9" fontId="8" fillId="5" borderId="0" xfId="1" applyFont="1" applyFill="1" applyBorder="1" applyAlignment="1" applyProtection="1">
      <alignment horizontal="center"/>
    </xf>
    <xf numFmtId="0" fontId="0" fillId="5" borderId="0" xfId="0" applyFill="1" applyProtection="1"/>
    <xf numFmtId="0" fontId="0" fillId="5" borderId="0" xfId="0" applyFill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  <xf numFmtId="9" fontId="8" fillId="0" borderId="0" xfId="1" applyFont="1" applyBorder="1" applyAlignment="1" applyProtection="1">
      <alignment horizontal="center"/>
    </xf>
    <xf numFmtId="0" fontId="6" fillId="5" borderId="0" xfId="0" applyFont="1" applyFill="1" applyAlignment="1" applyProtection="1">
      <alignment horizontal="left"/>
    </xf>
    <xf numFmtId="0" fontId="8" fillId="5" borderId="0" xfId="0" applyFont="1" applyFill="1" applyAlignment="1" applyProtection="1">
      <alignment horizontal="left"/>
    </xf>
    <xf numFmtId="9" fontId="8" fillId="5" borderId="0" xfId="1" applyFont="1" applyFill="1" applyBorder="1" applyAlignment="1" applyProtection="1">
      <alignment horizontal="center" vertical="top" wrapText="1"/>
    </xf>
    <xf numFmtId="9" fontId="8" fillId="0" borderId="0" xfId="1" applyFont="1" applyBorder="1" applyAlignment="1" applyProtection="1"/>
    <xf numFmtId="9" fontId="8" fillId="5" borderId="0" xfId="1" applyFont="1" applyFill="1" applyBorder="1" applyAlignment="1" applyProtection="1">
      <alignment vertical="top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28</xdr:row>
      <xdr:rowOff>91440</xdr:rowOff>
    </xdr:from>
    <xdr:to>
      <xdr:col>2</xdr:col>
      <xdr:colOff>129540</xdr:colOff>
      <xdr:row>28</xdr:row>
      <xdr:rowOff>518160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5273040"/>
          <a:ext cx="16764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36.5546875" style="17" customWidth="1"/>
    <col min="9" max="9" width="17.5546875" style="17" customWidth="1"/>
    <col min="10" max="10" width="8.2187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200000</v>
      </c>
      <c r="C1" s="33"/>
      <c r="D1" s="34"/>
      <c r="E1" s="67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0.66</v>
      </c>
      <c r="C2" s="37"/>
      <c r="D2" s="37"/>
      <c r="E2" s="68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36">
        <f>B2/B10</f>
        <v>1.8082191780821918E-3</v>
      </c>
      <c r="C3" s="37"/>
      <c r="D3" s="37"/>
      <c r="E3" s="68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33</v>
      </c>
      <c r="B4" s="36">
        <v>6.5000000000000002E-2</v>
      </c>
      <c r="C4" s="37"/>
      <c r="D4" s="37"/>
      <c r="E4" s="68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68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68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0.04</v>
      </c>
      <c r="C7" s="38">
        <v>0</v>
      </c>
      <c r="D7" s="39" t="s">
        <v>26</v>
      </c>
      <c r="E7" s="68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68"/>
      <c r="F8" s="15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6.5000000000000002E-2</v>
      </c>
      <c r="C9" s="55"/>
      <c r="D9" s="55"/>
      <c r="E9" s="56"/>
      <c r="F9" s="15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60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-192000</v>
      </c>
      <c r="D13" s="44"/>
      <c r="E13" s="44"/>
      <c r="F13" s="44"/>
      <c r="G13" s="46">
        <f>(B1)*B7+C7</f>
        <v>8000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13000</v>
      </c>
      <c r="D14" s="44">
        <f>$B$9*B1-E14-G14-I14</f>
        <v>1789.0410958904104</v>
      </c>
      <c r="E14" s="44">
        <f>$B$3*B1*A14</f>
        <v>11210.95890410959</v>
      </c>
      <c r="F14" s="44">
        <f>B1-D14</f>
        <v>198210.9589041096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12883.712328767124</v>
      </c>
      <c r="D15" s="44">
        <f t="shared" ref="D15:D25" si="0">$B$9*F14-E15-G15-H15-I15</f>
        <v>2848.2643272659025</v>
      </c>
      <c r="E15" s="44">
        <f t="shared" ref="E15:E24" si="1">$B$3*F14*A15</f>
        <v>10035.448001501221</v>
      </c>
      <c r="F15" s="44">
        <f>F14-D15</f>
        <v>195362.6945768437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12698.575147494841</v>
      </c>
      <c r="D16" s="44">
        <f t="shared" si="0"/>
        <v>1747.5594460092998</v>
      </c>
      <c r="E16" s="44">
        <f t="shared" si="1"/>
        <v>10951.015701485541</v>
      </c>
      <c r="F16" s="44">
        <f t="shared" ref="F16:F25" si="5">F15-D16</f>
        <v>193615.13513083439</v>
      </c>
      <c r="G16" s="44">
        <f t="shared" si="2"/>
        <v>0</v>
      </c>
      <c r="H16" s="44">
        <f>B6*F15</f>
        <v>0</v>
      </c>
      <c r="I16" s="44">
        <f t="shared" si="3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12584.983783504236</v>
      </c>
      <c r="D17" s="44">
        <f t="shared" si="0"/>
        <v>2082.0257681877411</v>
      </c>
      <c r="E17" s="44">
        <f t="shared" si="1"/>
        <v>10502.958015316495</v>
      </c>
      <c r="F17" s="44">
        <f t="shared" si="5"/>
        <v>191533.10936264665</v>
      </c>
      <c r="G17" s="44">
        <f t="shared" si="2"/>
        <v>0</v>
      </c>
      <c r="H17" s="44">
        <f>+B6*F16</f>
        <v>0</v>
      </c>
      <c r="I17" s="44">
        <f t="shared" si="3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12449.652108572032</v>
      </c>
      <c r="D18" s="44">
        <f t="shared" si="0"/>
        <v>1713.3030193672366</v>
      </c>
      <c r="E18" s="44">
        <f t="shared" si="1"/>
        <v>10736.349089204796</v>
      </c>
      <c r="F18" s="44">
        <f t="shared" si="5"/>
        <v>189819.8063432794</v>
      </c>
      <c r="G18" s="44">
        <f t="shared" si="2"/>
        <v>0</v>
      </c>
      <c r="H18" s="44">
        <f>+B6*F17</f>
        <v>0</v>
      </c>
      <c r="I18" s="44">
        <f t="shared" si="3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12338.287412313162</v>
      </c>
      <c r="D19" s="44">
        <f t="shared" si="0"/>
        <v>2041.2129860201967</v>
      </c>
      <c r="E19" s="44">
        <f t="shared" si="1"/>
        <v>10297.074426292966</v>
      </c>
      <c r="F19" s="44">
        <f t="shared" si="5"/>
        <v>187778.5933572592</v>
      </c>
      <c r="G19" s="44">
        <f t="shared" si="2"/>
        <v>0</v>
      </c>
      <c r="H19" s="44">
        <f>+B6*F18</f>
        <v>0</v>
      </c>
      <c r="I19" s="44">
        <f t="shared" si="3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12205.608568221849</v>
      </c>
      <c r="D20" s="44">
        <f t="shared" si="0"/>
        <v>1679.7181022231543</v>
      </c>
      <c r="E20" s="44">
        <f t="shared" si="1"/>
        <v>10525.890465998695</v>
      </c>
      <c r="F20" s="44">
        <f t="shared" si="5"/>
        <v>186098.87525503605</v>
      </c>
      <c r="G20" s="44">
        <f t="shared" si="2"/>
        <v>0</v>
      </c>
      <c r="H20" s="44">
        <f>B6*F19</f>
        <v>0</v>
      </c>
      <c r="I20" s="44">
        <f t="shared" si="3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12096.426891577345</v>
      </c>
      <c r="D21" s="44">
        <f t="shared" si="0"/>
        <v>1664.692678651214</v>
      </c>
      <c r="E21" s="44">
        <f t="shared" si="1"/>
        <v>10431.734212926131</v>
      </c>
      <c r="F21" s="44">
        <f t="shared" si="5"/>
        <v>184434.18257638483</v>
      </c>
      <c r="G21" s="44">
        <f t="shared" si="2"/>
        <v>0</v>
      </c>
      <c r="H21" s="44">
        <f>+B6*F20</f>
        <v>0</v>
      </c>
      <c r="I21" s="44">
        <f t="shared" si="3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11988.221867465014</v>
      </c>
      <c r="D22" s="44">
        <f t="shared" si="0"/>
        <v>1983.2990866090695</v>
      </c>
      <c r="E22" s="44">
        <f t="shared" si="1"/>
        <v>10004.922780855944</v>
      </c>
      <c r="F22" s="44">
        <f t="shared" si="5"/>
        <v>182450.88348977576</v>
      </c>
      <c r="G22" s="44">
        <f t="shared" si="2"/>
        <v>0</v>
      </c>
      <c r="H22" s="44">
        <f>+B6*F21</f>
        <v>0</v>
      </c>
      <c r="I22" s="44">
        <f t="shared" si="3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11859.307426835425</v>
      </c>
      <c r="D23" s="44">
        <f t="shared" si="0"/>
        <v>1632.0606427236107</v>
      </c>
      <c r="E23" s="44">
        <f t="shared" si="1"/>
        <v>10227.246784111814</v>
      </c>
      <c r="F23" s="44">
        <f t="shared" si="5"/>
        <v>180818.82284705216</v>
      </c>
      <c r="G23" s="44">
        <f t="shared" si="2"/>
        <v>0</v>
      </c>
      <c r="H23" s="44">
        <f>+B6*F22</f>
        <v>0</v>
      </c>
      <c r="I23" s="44">
        <f t="shared" si="3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11753.22348505839</v>
      </c>
      <c r="D24" s="44">
        <f t="shared" si="0"/>
        <v>1944.4215881498076</v>
      </c>
      <c r="E24" s="44">
        <f t="shared" si="1"/>
        <v>9808.8018969085824</v>
      </c>
      <c r="F24" s="44">
        <f t="shared" si="5"/>
        <v>178874.40125890236</v>
      </c>
      <c r="G24" s="44">
        <f t="shared" si="2"/>
        <v>0</v>
      </c>
      <c r="H24" s="44">
        <f>B6*F23</f>
        <v>0</v>
      </c>
      <c r="I24" s="44">
        <f t="shared" si="3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188577.72494363185</v>
      </c>
      <c r="D25" s="44">
        <f t="shared" si="0"/>
        <v>1923.5123970991572</v>
      </c>
      <c r="E25" s="44">
        <f>$B$3*F24*A24</f>
        <v>9703.3236847294975</v>
      </c>
      <c r="F25" s="44">
        <f t="shared" si="5"/>
        <v>176950.88886180319</v>
      </c>
      <c r="G25" s="44">
        <f t="shared" si="2"/>
        <v>0</v>
      </c>
      <c r="H25" s="44">
        <f>B6*F24</f>
        <v>0</v>
      </c>
      <c r="I25" s="44">
        <f t="shared" si="3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324435.72396344127</v>
      </c>
      <c r="D26" s="45">
        <f>SUM(D14:D25)</f>
        <v>23049.1111381968</v>
      </c>
      <c r="E26" s="45">
        <f>SUM(E14:E25)</f>
        <v>124435.72396344127</v>
      </c>
      <c r="F26" s="45" t="s">
        <v>16</v>
      </c>
      <c r="G26" s="45">
        <f>SUM(G13:G25)</f>
        <v>8000</v>
      </c>
      <c r="H26" s="45">
        <f>SUM(H14:H25)</f>
        <v>0</v>
      </c>
      <c r="I26" s="45">
        <f>SUM(I14:I25)</f>
        <v>0</v>
      </c>
      <c r="J26" s="43">
        <f>XIRR(C13:C25,B13:B25)</f>
        <v>1.0101808905601499</v>
      </c>
      <c r="K26" s="30">
        <f>C26+G13</f>
        <v>332435.72396344127</v>
      </c>
      <c r="L26" s="30">
        <f>E26+G26+H26+I26</f>
        <v>132435.72396344127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9" t="s">
        <v>20</v>
      </c>
      <c r="B30" s="69"/>
      <c r="C30" s="69"/>
      <c r="D30" s="69"/>
      <c r="E30" s="69"/>
      <c r="F30" s="69"/>
      <c r="G30" s="69"/>
      <c r="H30" s="69"/>
      <c r="I30" s="2">
        <v>200000</v>
      </c>
      <c r="J30" s="62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70" t="s">
        <v>22</v>
      </c>
      <c r="B32" s="70"/>
      <c r="C32" s="70"/>
      <c r="D32" s="70"/>
      <c r="E32" s="70"/>
      <c r="F32" s="70"/>
      <c r="G32" s="70"/>
      <c r="H32" s="70"/>
      <c r="I32" s="3">
        <f>B2</f>
        <v>0.66</v>
      </c>
      <c r="J32" s="12"/>
      <c r="K32" s="9"/>
    </row>
    <row r="33" spans="1:11" s="9" customFormat="1" ht="7.2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2">
      <c r="A34" s="70" t="s">
        <v>35</v>
      </c>
      <c r="B34" s="70"/>
      <c r="C34" s="70"/>
      <c r="D34" s="70"/>
      <c r="E34" s="70"/>
      <c r="F34" s="70"/>
      <c r="G34" s="70"/>
      <c r="H34" s="70"/>
      <c r="I34" s="64">
        <v>0.04</v>
      </c>
      <c r="J34" s="66"/>
      <c r="K34" s="9"/>
    </row>
    <row r="35" spans="1:11" s="9" customFormat="1" ht="7.8" customHeight="1" x14ac:dyDescent="0.3">
      <c r="A35" s="13"/>
      <c r="B35" s="13"/>
      <c r="C35" s="13"/>
      <c r="D35" s="13"/>
      <c r="E35" s="13"/>
      <c r="F35" s="13"/>
      <c r="G35" s="13"/>
      <c r="H35" s="13"/>
      <c r="I35" s="11"/>
      <c r="J35" s="12"/>
    </row>
    <row r="36" spans="1:11" s="1" customFormat="1" ht="17.399999999999999" x14ac:dyDescent="0.3">
      <c r="A36" s="70" t="s">
        <v>23</v>
      </c>
      <c r="B36" s="70"/>
      <c r="C36" s="70"/>
      <c r="D36" s="70"/>
      <c r="E36" s="70"/>
      <c r="F36" s="70"/>
      <c r="G36" s="70"/>
      <c r="H36" s="70"/>
      <c r="I36" s="47">
        <f>C14</f>
        <v>13000</v>
      </c>
      <c r="J36" s="63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8"/>
      <c r="J37" s="63"/>
    </row>
    <row r="38" spans="1:11" s="1" customFormat="1" ht="17.399999999999999" x14ac:dyDescent="0.3">
      <c r="A38" s="70" t="s">
        <v>28</v>
      </c>
      <c r="B38" s="70"/>
      <c r="C38" s="70"/>
      <c r="D38" s="70"/>
      <c r="E38" s="70"/>
      <c r="F38" s="70"/>
      <c r="G38" s="70"/>
      <c r="H38" s="70"/>
      <c r="I38" s="47">
        <f>L26</f>
        <v>132435.72396344127</v>
      </c>
      <c r="J38" s="63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63"/>
    </row>
    <row r="40" spans="1:11" s="1" customFormat="1" ht="17.399999999999999" x14ac:dyDescent="0.3">
      <c r="A40" s="70" t="s">
        <v>29</v>
      </c>
      <c r="B40" s="70"/>
      <c r="C40" s="70"/>
      <c r="D40" s="70"/>
      <c r="E40" s="70"/>
      <c r="F40" s="70"/>
      <c r="G40" s="70"/>
      <c r="H40" s="70"/>
      <c r="I40" s="47">
        <f>K26</f>
        <v>332435.72396344127</v>
      </c>
      <c r="J40" s="63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63"/>
    </row>
    <row r="42" spans="1:11" s="1" customFormat="1" ht="17.399999999999999" x14ac:dyDescent="0.3">
      <c r="A42" s="70" t="s">
        <v>30</v>
      </c>
      <c r="B42" s="70"/>
      <c r="C42" s="70"/>
      <c r="D42" s="70"/>
      <c r="E42" s="70"/>
      <c r="F42" s="70"/>
      <c r="G42" s="70"/>
      <c r="H42" s="70"/>
      <c r="I42" s="4">
        <f>J26</f>
        <v>1.0101808905601499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72" t="s">
        <v>37</v>
      </c>
      <c r="B44" s="72"/>
      <c r="C44" s="72"/>
      <c r="D44" s="72"/>
      <c r="E44" s="72"/>
      <c r="F44" s="72"/>
      <c r="G44" s="72"/>
      <c r="H44" s="72"/>
      <c r="I44" s="72"/>
      <c r="J44" s="72"/>
    </row>
    <row r="45" spans="1:11" s="1" customFormat="1" ht="40.200000000000003" customHeight="1" x14ac:dyDescent="0.2">
      <c r="A45" s="71" t="s">
        <v>24</v>
      </c>
      <c r="B45" s="71"/>
      <c r="C45" s="71"/>
      <c r="D45" s="71"/>
      <c r="E45" s="71"/>
      <c r="F45" s="71"/>
      <c r="G45" s="71"/>
      <c r="H45" s="71"/>
      <c r="I45" s="71"/>
      <c r="J45" s="71"/>
    </row>
    <row r="46" spans="1:11" s="51" customFormat="1" hidden="1" x14ac:dyDescent="0.3">
      <c r="C46" s="52"/>
    </row>
    <row r="47" spans="1:11" s="51" customFormat="1" hidden="1" x14ac:dyDescent="0.3">
      <c r="C47" s="52"/>
    </row>
  </sheetData>
  <sheetProtection password="CC99" sheet="1" objects="1" scenarios="1" selectLockedCells="1"/>
  <mergeCells count="10">
    <mergeCell ref="E1:E8"/>
    <mergeCell ref="A30:H30"/>
    <mergeCell ref="A32:H32"/>
    <mergeCell ref="A45:J45"/>
    <mergeCell ref="A44:J44"/>
    <mergeCell ref="A36:H36"/>
    <mergeCell ref="A38:H38"/>
    <mergeCell ref="A40:H40"/>
    <mergeCell ref="A42:H42"/>
    <mergeCell ref="A34:H34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35" workbookViewId="0">
      <selection activeCell="I31" sqref="I31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27.33203125" style="17" customWidth="1"/>
    <col min="9" max="9" width="23.109375" style="17" bestFit="1" customWidth="1"/>
    <col min="10" max="10" width="12.886718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200000</v>
      </c>
      <c r="C1" s="33"/>
      <c r="D1" s="34"/>
      <c r="E1" s="73" t="s">
        <v>12</v>
      </c>
      <c r="F1" s="67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0.66</v>
      </c>
      <c r="C2" s="37"/>
      <c r="D2" s="37"/>
      <c r="E2" s="74"/>
      <c r="F2" s="68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9">
        <f>B2/B10</f>
        <v>1.8082191780821918E-3</v>
      </c>
      <c r="C3" s="37"/>
      <c r="D3" s="37"/>
      <c r="E3" s="74"/>
      <c r="F3" s="68"/>
      <c r="G3" s="18"/>
      <c r="H3" s="18"/>
      <c r="I3" s="18"/>
      <c r="J3" s="18"/>
      <c r="K3" s="19"/>
    </row>
    <row r="4" spans="1:12" ht="15" hidden="1" customHeight="1" x14ac:dyDescent="0.3">
      <c r="A4" s="35" t="s">
        <v>34</v>
      </c>
      <c r="B4" s="36">
        <v>7.4999999999999997E-2</v>
      </c>
      <c r="C4" s="37"/>
      <c r="D4" s="37"/>
      <c r="E4" s="74"/>
      <c r="F4" s="68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74"/>
      <c r="F5" s="68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74"/>
      <c r="F6" s="68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0.04</v>
      </c>
      <c r="C7" s="38">
        <v>0</v>
      </c>
      <c r="D7" s="39" t="s">
        <v>26</v>
      </c>
      <c r="E7" s="74"/>
      <c r="F7" s="68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74"/>
      <c r="F8" s="68"/>
      <c r="G8" s="18"/>
      <c r="H8" s="18"/>
      <c r="I8" s="18"/>
      <c r="J8" s="18"/>
    </row>
    <row r="9" spans="1:12" ht="15" hidden="1" customHeight="1" x14ac:dyDescent="0.3">
      <c r="A9" s="53" t="s">
        <v>32</v>
      </c>
      <c r="B9" s="54">
        <f>B4+B8/B1</f>
        <v>7.4999999999999997E-2</v>
      </c>
      <c r="C9" s="55"/>
      <c r="D9" s="55"/>
      <c r="E9" s="55"/>
      <c r="F9" s="56"/>
      <c r="G9" s="18"/>
      <c r="H9" s="18"/>
      <c r="I9" s="18"/>
      <c r="J9" s="18"/>
    </row>
    <row r="10" spans="1:12" s="21" customFormat="1" ht="14.4" hidden="1" customHeight="1" x14ac:dyDescent="0.3">
      <c r="A10" s="57" t="s">
        <v>13</v>
      </c>
      <c r="B10" s="58">
        <f>SUM(A14:A25)</f>
        <v>365</v>
      </c>
      <c r="C10" s="59"/>
      <c r="D10" s="59"/>
      <c r="E10" s="59"/>
      <c r="F10" s="6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-192000</v>
      </c>
      <c r="D13" s="44"/>
      <c r="E13" s="44"/>
      <c r="F13" s="44"/>
      <c r="G13" s="46">
        <f>(B1)*B7+C7</f>
        <v>8000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15000</v>
      </c>
      <c r="D14" s="44">
        <f>$B$9*B1-E14-G14-I14</f>
        <v>1789.0410958904104</v>
      </c>
      <c r="E14" s="44">
        <f>$B$3*B1*A14</f>
        <v>11210.95890410959</v>
      </c>
      <c r="F14" s="44">
        <f>B1-D14</f>
        <v>198210.9589041096</v>
      </c>
      <c r="G14" s="44">
        <f>B8</f>
        <v>0</v>
      </c>
      <c r="H14" s="44">
        <f>(-1)*B6*C13</f>
        <v>0</v>
      </c>
      <c r="I14" s="44">
        <f>B1*B5</f>
        <v>2000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14865.82191780822</v>
      </c>
      <c r="D15" s="44">
        <f t="shared" ref="D15:D25" si="0">$B$9*F14-E15-G15-H15-I15</f>
        <v>2848.2643272659025</v>
      </c>
      <c r="E15" s="44">
        <f t="shared" ref="E15:E24" si="1">$B$3*F14*A15</f>
        <v>10035.448001501221</v>
      </c>
      <c r="F15" s="44">
        <f>F14-D15</f>
        <v>195362.6945768437</v>
      </c>
      <c r="G15" s="44">
        <f t="shared" ref="G15:G25" si="2">$B$8</f>
        <v>0</v>
      </c>
      <c r="H15" s="44">
        <f>+B6*F14</f>
        <v>0</v>
      </c>
      <c r="I15" s="44">
        <f t="shared" ref="I15:I25" si="3">F14*$B$5</f>
        <v>1982.1095890410961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4">D16+E16+G16+H16+I16</f>
        <v>14652.202093263277</v>
      </c>
      <c r="D16" s="44">
        <f t="shared" si="0"/>
        <v>1747.5594460092984</v>
      </c>
      <c r="E16" s="44">
        <f t="shared" si="1"/>
        <v>10951.015701485541</v>
      </c>
      <c r="F16" s="44">
        <f t="shared" ref="F16:F25" si="5">F15-D16</f>
        <v>193615.13513083439</v>
      </c>
      <c r="G16" s="44">
        <f t="shared" si="2"/>
        <v>0</v>
      </c>
      <c r="H16" s="44">
        <f>B6*F15</f>
        <v>0</v>
      </c>
      <c r="I16" s="44">
        <f t="shared" si="3"/>
        <v>1953.6269457684371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4"/>
        <v>14521.135134812579</v>
      </c>
      <c r="D17" s="44">
        <f t="shared" si="0"/>
        <v>2082.0257681877401</v>
      </c>
      <c r="E17" s="44">
        <f t="shared" si="1"/>
        <v>10502.958015316495</v>
      </c>
      <c r="F17" s="44">
        <f t="shared" si="5"/>
        <v>191533.10936264665</v>
      </c>
      <c r="G17" s="44">
        <f t="shared" si="2"/>
        <v>0</v>
      </c>
      <c r="H17" s="44">
        <f>+B6*F16</f>
        <v>0</v>
      </c>
      <c r="I17" s="44">
        <f t="shared" si="3"/>
        <v>1936.1513513083439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4"/>
        <v>14364.983202198498</v>
      </c>
      <c r="D18" s="44">
        <f t="shared" si="0"/>
        <v>1713.3030193672362</v>
      </c>
      <c r="E18" s="44">
        <f t="shared" si="1"/>
        <v>10736.349089204796</v>
      </c>
      <c r="F18" s="44">
        <f t="shared" si="5"/>
        <v>189819.8063432794</v>
      </c>
      <c r="G18" s="44">
        <f t="shared" si="2"/>
        <v>0</v>
      </c>
      <c r="H18" s="44">
        <f>+B6*F17</f>
        <v>0</v>
      </c>
      <c r="I18" s="44">
        <f t="shared" si="3"/>
        <v>1915.3310936264666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4"/>
        <v>14236.485475745954</v>
      </c>
      <c r="D19" s="44">
        <f t="shared" si="0"/>
        <v>2041.2129860201946</v>
      </c>
      <c r="E19" s="44">
        <f t="shared" si="1"/>
        <v>10297.074426292966</v>
      </c>
      <c r="F19" s="44">
        <f t="shared" si="5"/>
        <v>187778.5933572592</v>
      </c>
      <c r="G19" s="44">
        <f t="shared" si="2"/>
        <v>0</v>
      </c>
      <c r="H19" s="44">
        <f>+B6*F18</f>
        <v>0</v>
      </c>
      <c r="I19" s="44">
        <f t="shared" si="3"/>
        <v>1898.198063432794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4"/>
        <v>14083.394501794441</v>
      </c>
      <c r="D20" s="44">
        <f t="shared" si="0"/>
        <v>1679.7181022231539</v>
      </c>
      <c r="E20" s="44">
        <f t="shared" si="1"/>
        <v>10525.890465998695</v>
      </c>
      <c r="F20" s="44">
        <f t="shared" si="5"/>
        <v>186098.87525503605</v>
      </c>
      <c r="G20" s="44">
        <f t="shared" si="2"/>
        <v>0</v>
      </c>
      <c r="H20" s="44">
        <f>B6*F19</f>
        <v>0</v>
      </c>
      <c r="I20" s="44">
        <f t="shared" si="3"/>
        <v>1877.7859335725921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4"/>
        <v>13957.415644127703</v>
      </c>
      <c r="D21" s="44">
        <f t="shared" si="0"/>
        <v>1664.6926786512117</v>
      </c>
      <c r="E21" s="44">
        <f t="shared" si="1"/>
        <v>10431.734212926131</v>
      </c>
      <c r="F21" s="44">
        <f t="shared" si="5"/>
        <v>184434.18257638483</v>
      </c>
      <c r="G21" s="44">
        <f t="shared" si="2"/>
        <v>0</v>
      </c>
      <c r="H21" s="44">
        <f>+B6*F20</f>
        <v>0</v>
      </c>
      <c r="I21" s="44">
        <f t="shared" si="3"/>
        <v>1860.9887525503605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4"/>
        <v>13832.563693228862</v>
      </c>
      <c r="D22" s="44">
        <f t="shared" si="0"/>
        <v>1983.2990866090688</v>
      </c>
      <c r="E22" s="44">
        <f t="shared" si="1"/>
        <v>10004.922780855944</v>
      </c>
      <c r="F22" s="44">
        <f t="shared" si="5"/>
        <v>182450.88348977576</v>
      </c>
      <c r="G22" s="44">
        <f t="shared" si="2"/>
        <v>0</v>
      </c>
      <c r="H22" s="44">
        <f>+B6*F21</f>
        <v>0</v>
      </c>
      <c r="I22" s="44">
        <f t="shared" si="3"/>
        <v>1844.3418257638484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4"/>
        <v>13683.816261733182</v>
      </c>
      <c r="D23" s="44">
        <f t="shared" si="0"/>
        <v>1632.06064272361</v>
      </c>
      <c r="E23" s="44">
        <f t="shared" si="1"/>
        <v>10227.246784111814</v>
      </c>
      <c r="F23" s="44">
        <f t="shared" si="5"/>
        <v>180818.82284705216</v>
      </c>
      <c r="G23" s="44">
        <f t="shared" si="2"/>
        <v>0</v>
      </c>
      <c r="H23" s="44">
        <f>+B6*F22</f>
        <v>0</v>
      </c>
      <c r="I23" s="44">
        <f t="shared" si="3"/>
        <v>1824.5088348977577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4"/>
        <v>13561.411713528909</v>
      </c>
      <c r="D24" s="44">
        <f t="shared" si="0"/>
        <v>1944.4215881498067</v>
      </c>
      <c r="E24" s="44">
        <f t="shared" si="1"/>
        <v>9808.8018969085824</v>
      </c>
      <c r="F24" s="44">
        <f t="shared" si="5"/>
        <v>178874.40125890236</v>
      </c>
      <c r="G24" s="44">
        <f t="shared" si="2"/>
        <v>0</v>
      </c>
      <c r="H24" s="44">
        <f>B6*F23</f>
        <v>0</v>
      </c>
      <c r="I24" s="44">
        <f t="shared" si="3"/>
        <v>1808.1882284705216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190366.46895622087</v>
      </c>
      <c r="D25" s="44">
        <f t="shared" si="0"/>
        <v>1923.512397099156</v>
      </c>
      <c r="E25" s="44">
        <f>$B$3*F24*A24</f>
        <v>9703.3236847294975</v>
      </c>
      <c r="F25" s="44">
        <f t="shared" si="5"/>
        <v>176950.88886180319</v>
      </c>
      <c r="G25" s="44">
        <f t="shared" si="2"/>
        <v>0</v>
      </c>
      <c r="H25" s="44">
        <f>B6*F24</f>
        <v>0</v>
      </c>
      <c r="I25" s="44">
        <f t="shared" si="3"/>
        <v>1788.7440125890237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347125.69859446248</v>
      </c>
      <c r="D26" s="45">
        <f>SUM(D14:D25)</f>
        <v>23049.111138196786</v>
      </c>
      <c r="E26" s="45">
        <f>SUM(E14:E25)</f>
        <v>124435.72396344127</v>
      </c>
      <c r="F26" s="45" t="s">
        <v>16</v>
      </c>
      <c r="G26" s="45">
        <f>SUM(G13:G25)</f>
        <v>8000</v>
      </c>
      <c r="H26" s="45">
        <f>SUM(H14:H25)</f>
        <v>0</v>
      </c>
      <c r="I26" s="45">
        <f>SUM(I14:I25)</f>
        <v>22689.974631021243</v>
      </c>
      <c r="J26" s="43">
        <f>XIRR(C13:C25,B13:B25)</f>
        <v>1.2577840924263</v>
      </c>
      <c r="K26" s="30">
        <f>C26+G13</f>
        <v>355125.69859446248</v>
      </c>
      <c r="L26" s="30">
        <f>E26+G26+H26+I26</f>
        <v>155125.6985944625</v>
      </c>
    </row>
    <row r="27" spans="1:12" hidden="1" x14ac:dyDescent="0.3"/>
    <row r="28" spans="1:12" hidden="1" x14ac:dyDescent="0.3"/>
    <row r="29" spans="1:12" s="9" customFormat="1" ht="46.2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69" t="s">
        <v>20</v>
      </c>
      <c r="B30" s="69"/>
      <c r="C30" s="69"/>
      <c r="D30" s="69"/>
      <c r="E30" s="69"/>
      <c r="F30" s="69"/>
      <c r="G30" s="69"/>
      <c r="H30" s="69"/>
      <c r="I30" s="2">
        <v>200000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70" t="s">
        <v>22</v>
      </c>
      <c r="B32" s="70"/>
      <c r="C32" s="70"/>
      <c r="D32" s="70"/>
      <c r="E32" s="70"/>
      <c r="F32" s="70"/>
      <c r="G32" s="70"/>
      <c r="H32" s="70"/>
      <c r="I32" s="3">
        <f>B2</f>
        <v>0.66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50"/>
      <c r="J33" s="12"/>
    </row>
    <row r="34" spans="1:11" s="1" customFormat="1" ht="17.399999999999999" x14ac:dyDescent="0.3">
      <c r="A34" s="70" t="s">
        <v>27</v>
      </c>
      <c r="B34" s="70"/>
      <c r="C34" s="70"/>
      <c r="D34" s="70"/>
      <c r="E34" s="70"/>
      <c r="F34" s="70"/>
      <c r="G34" s="70"/>
      <c r="H34" s="70"/>
      <c r="I34" s="61" t="s">
        <v>31</v>
      </c>
      <c r="J34" s="65"/>
      <c r="K34" s="9"/>
    </row>
    <row r="35" spans="1:11" s="9" customFormat="1" ht="6.6" customHeight="1" x14ac:dyDescent="0.3">
      <c r="A35" s="10"/>
      <c r="B35" s="10"/>
      <c r="C35" s="10"/>
      <c r="D35" s="10"/>
      <c r="E35" s="10"/>
      <c r="F35" s="10"/>
      <c r="G35" s="10"/>
      <c r="H35" s="10"/>
      <c r="I35" s="50"/>
      <c r="J35" s="50"/>
    </row>
    <row r="36" spans="1:11" s="1" customFormat="1" ht="17.399999999999999" x14ac:dyDescent="0.3">
      <c r="A36" s="70" t="s">
        <v>35</v>
      </c>
      <c r="B36" s="70"/>
      <c r="C36" s="70"/>
      <c r="D36" s="70"/>
      <c r="E36" s="70"/>
      <c r="F36" s="70"/>
      <c r="G36" s="70"/>
      <c r="H36" s="70"/>
      <c r="I36" s="64">
        <v>0.04</v>
      </c>
      <c r="J36" s="50"/>
      <c r="K36" s="9"/>
    </row>
    <row r="37" spans="1:11" s="9" customFormat="1" ht="9" customHeight="1" x14ac:dyDescent="0.3">
      <c r="A37" s="10"/>
      <c r="B37" s="10"/>
      <c r="C37" s="10"/>
      <c r="D37" s="10"/>
      <c r="E37" s="10"/>
      <c r="F37" s="10"/>
      <c r="G37" s="10"/>
      <c r="H37" s="10"/>
      <c r="I37" s="50"/>
      <c r="J37" s="12"/>
    </row>
    <row r="38" spans="1:11" s="1" customFormat="1" ht="17.399999999999999" x14ac:dyDescent="0.3">
      <c r="A38" s="70" t="s">
        <v>23</v>
      </c>
      <c r="B38" s="70"/>
      <c r="C38" s="70"/>
      <c r="D38" s="70"/>
      <c r="E38" s="70"/>
      <c r="F38" s="70"/>
      <c r="G38" s="70"/>
      <c r="H38" s="70"/>
      <c r="I38" s="47">
        <f>C14</f>
        <v>15000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8"/>
      <c r="J39" s="12"/>
    </row>
    <row r="40" spans="1:11" s="1" customFormat="1" ht="17.399999999999999" x14ac:dyDescent="0.3">
      <c r="A40" s="70" t="s">
        <v>28</v>
      </c>
      <c r="B40" s="70"/>
      <c r="C40" s="70"/>
      <c r="D40" s="70"/>
      <c r="E40" s="70"/>
      <c r="F40" s="70"/>
      <c r="G40" s="70"/>
      <c r="H40" s="70"/>
      <c r="I40" s="47">
        <f>L26</f>
        <v>155125.6985944625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48"/>
      <c r="J41" s="12"/>
    </row>
    <row r="42" spans="1:11" s="1" customFormat="1" ht="17.399999999999999" x14ac:dyDescent="0.3">
      <c r="A42" s="70" t="s">
        <v>29</v>
      </c>
      <c r="B42" s="70"/>
      <c r="C42" s="70"/>
      <c r="D42" s="70"/>
      <c r="E42" s="70"/>
      <c r="F42" s="70"/>
      <c r="G42" s="70"/>
      <c r="H42" s="70"/>
      <c r="I42" s="47">
        <f>K26</f>
        <v>355125.69859446248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70" t="s">
        <v>30</v>
      </c>
      <c r="B44" s="70"/>
      <c r="C44" s="70"/>
      <c r="D44" s="70"/>
      <c r="E44" s="70"/>
      <c r="F44" s="70"/>
      <c r="G44" s="70"/>
      <c r="H44" s="70"/>
      <c r="I44" s="4">
        <f>J26</f>
        <v>1.2577840924263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72" t="s">
        <v>36</v>
      </c>
      <c r="B46" s="72"/>
      <c r="C46" s="72"/>
      <c r="D46" s="72"/>
      <c r="E46" s="72"/>
      <c r="F46" s="72"/>
      <c r="G46" s="72"/>
      <c r="H46" s="72"/>
      <c r="I46" s="72"/>
      <c r="J46" s="72"/>
    </row>
    <row r="47" spans="1:11" s="1" customFormat="1" ht="40.200000000000003" customHeight="1" x14ac:dyDescent="0.2">
      <c r="A47" s="71" t="s">
        <v>24</v>
      </c>
      <c r="B47" s="71"/>
      <c r="C47" s="71"/>
      <c r="D47" s="71"/>
      <c r="E47" s="71"/>
      <c r="F47" s="71"/>
      <c r="G47" s="71"/>
      <c r="H47" s="71"/>
      <c r="I47" s="71"/>
      <c r="J47" s="71"/>
    </row>
    <row r="48" spans="1:11" hidden="1" x14ac:dyDescent="0.3"/>
  </sheetData>
  <sheetProtection password="CC99" sheet="1" objects="1" scenarios="1"/>
  <mergeCells count="11">
    <mergeCell ref="E1:F8"/>
    <mergeCell ref="A42:H42"/>
    <mergeCell ref="A44:H44"/>
    <mergeCell ref="A46:J46"/>
    <mergeCell ref="A47:J47"/>
    <mergeCell ref="A30:H30"/>
    <mergeCell ref="A32:H32"/>
    <mergeCell ref="A34:H34"/>
    <mergeCell ref="A38:H38"/>
    <mergeCell ref="A40:H40"/>
    <mergeCell ref="A36:H3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 White XL i XXL_без страховки</vt:lpstr>
      <vt:lpstr>СВ White XL i XXL_зі страховкою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2023-03-20T16:06:46Z</dcterms:modified>
</cp:coreProperties>
</file>